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free\Dropbox\BOF\2022 - School construction\11-2-22 Special Meeting\"/>
    </mc:Choice>
  </mc:AlternateContent>
  <xr:revisionPtr revIDLastSave="0" documentId="13_ncr:1_{01E2AC21-E18C-4362-9B51-C32F81C9A518}" xr6:coauthVersionLast="47" xr6:coauthVersionMax="47" xr10:uidLastSave="{00000000-0000-0000-0000-000000000000}"/>
  <bookViews>
    <workbookView xWindow="-93" yWindow="-93" windowWidth="18426" windowHeight="11746" xr2:uid="{00000000-000D-0000-FFFF-FFFF00000000}"/>
  </bookViews>
  <sheets>
    <sheet name="Sheet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0" l="1"/>
  <c r="C18" i="10" l="1"/>
  <c r="C20" i="10" s="1"/>
  <c r="E16" i="10"/>
  <c r="I25" i="10" s="1"/>
  <c r="F16" i="10"/>
  <c r="I26" i="10" s="1"/>
  <c r="G16" i="10"/>
  <c r="J27" i="10" s="1"/>
  <c r="H16" i="10"/>
  <c r="L28" i="10" s="1"/>
  <c r="I16" i="10"/>
  <c r="M29" i="10" s="1"/>
  <c r="J16" i="10"/>
  <c r="K30" i="10" s="1"/>
  <c r="K16" i="10"/>
  <c r="M31" i="10" s="1"/>
  <c r="L16" i="10"/>
  <c r="M32" i="10" s="1"/>
  <c r="M16" i="10"/>
  <c r="M33" i="10" s="1"/>
  <c r="D16" i="10"/>
  <c r="K24" i="10" s="1"/>
  <c r="J25" i="10" l="1"/>
  <c r="K25" i="10"/>
  <c r="J26" i="10"/>
  <c r="M28" i="10"/>
  <c r="I29" i="10"/>
  <c r="L30" i="10"/>
  <c r="M30" i="10"/>
  <c r="L25" i="10"/>
  <c r="L26" i="10"/>
  <c r="M27" i="10"/>
  <c r="J29" i="10"/>
  <c r="K31" i="10"/>
  <c r="K27" i="10"/>
  <c r="E25" i="10"/>
  <c r="M25" i="10"/>
  <c r="M26" i="10"/>
  <c r="H28" i="10"/>
  <c r="K29" i="10"/>
  <c r="L31" i="10"/>
  <c r="L27" i="10"/>
  <c r="F25" i="10"/>
  <c r="F26" i="10"/>
  <c r="G27" i="10"/>
  <c r="I28" i="10"/>
  <c r="L29" i="10"/>
  <c r="G25" i="10"/>
  <c r="G26" i="10"/>
  <c r="H27" i="10"/>
  <c r="J28" i="10"/>
  <c r="L32" i="10"/>
  <c r="K26" i="10"/>
  <c r="H25" i="10"/>
  <c r="H26" i="10"/>
  <c r="I27" i="10"/>
  <c r="K28" i="10"/>
  <c r="J30" i="10"/>
  <c r="L24" i="10"/>
  <c r="D24" i="10"/>
  <c r="D34" i="10" s="1"/>
  <c r="D18" i="10" s="1"/>
  <c r="D21" i="10" s="1"/>
  <c r="M24" i="10"/>
  <c r="F24" i="10"/>
  <c r="I24" i="10"/>
  <c r="E24" i="10"/>
  <c r="H24" i="10"/>
  <c r="J24" i="10"/>
  <c r="G24" i="10"/>
  <c r="C24" i="10"/>
  <c r="C16" i="10"/>
  <c r="C12" i="10"/>
  <c r="B19" i="10"/>
  <c r="K34" i="10" l="1"/>
  <c r="K18" i="10" s="1"/>
  <c r="J34" i="10"/>
  <c r="J18" i="10" s="1"/>
  <c r="M34" i="10"/>
  <c r="M18" i="10" s="1"/>
  <c r="H34" i="10"/>
  <c r="H18" i="10" s="1"/>
  <c r="G34" i="10"/>
  <c r="G18" i="10" s="1"/>
  <c r="L34" i="10"/>
  <c r="L18" i="10" s="1"/>
  <c r="E34" i="10"/>
  <c r="E18" i="10" s="1"/>
  <c r="E21" i="10" s="1"/>
  <c r="I34" i="10"/>
  <c r="I18" i="10" s="1"/>
  <c r="F34" i="10"/>
  <c r="F18" i="10" s="1"/>
  <c r="D12" i="10"/>
  <c r="E12" i="10" s="1"/>
  <c r="F12" i="10" s="1"/>
  <c r="G12" i="10" s="1"/>
  <c r="H12" i="10" s="1"/>
  <c r="I12" i="10" s="1"/>
  <c r="J12" i="10" s="1"/>
  <c r="K12" i="10" s="1"/>
  <c r="L12" i="10" s="1"/>
  <c r="M12" i="10" s="1"/>
  <c r="J21" i="10" l="1"/>
  <c r="L21" i="10"/>
  <c r="K21" i="10"/>
  <c r="H21" i="10"/>
  <c r="F21" i="10"/>
  <c r="I21" i="10"/>
  <c r="M21" i="10"/>
  <c r="G21" i="10"/>
  <c r="N21" i="10" l="1"/>
  <c r="D19" i="10"/>
  <c r="D20" i="10" s="1"/>
  <c r="E19" i="10" l="1"/>
  <c r="F19" i="10" l="1"/>
  <c r="E20" i="10"/>
  <c r="F20" i="10" l="1"/>
  <c r="G19" i="10"/>
  <c r="G20" i="10" l="1"/>
  <c r="H19" i="10"/>
  <c r="I19" i="10" l="1"/>
  <c r="H20" i="10"/>
  <c r="J19" i="10" l="1"/>
  <c r="I20" i="10"/>
  <c r="J20" i="10" l="1"/>
  <c r="K19" i="10"/>
  <c r="K20" i="10" l="1"/>
  <c r="L19" i="10"/>
  <c r="L20" i="10" l="1"/>
  <c r="M19" i="10"/>
  <c r="M20" i="10" s="1"/>
</calcChain>
</file>

<file path=xl/sharedStrings.xml><?xml version="1.0" encoding="utf-8"?>
<sst xmlns="http://schemas.openxmlformats.org/spreadsheetml/2006/main" count="48" uniqueCount="46">
  <si>
    <t>Total Debt Service</t>
  </si>
  <si>
    <t>City bonding</t>
  </si>
  <si>
    <r>
      <rPr>
        <b/>
        <sz val="5.5"/>
        <rFont val="Arial"/>
        <family val="2"/>
      </rPr>
      <t>2021-2022</t>
    </r>
  </si>
  <si>
    <r>
      <rPr>
        <b/>
        <sz val="5.5"/>
        <rFont val="Arial"/>
        <family val="2"/>
      </rPr>
      <t>2022-2023</t>
    </r>
  </si>
  <si>
    <r>
      <rPr>
        <b/>
        <sz val="5.5"/>
        <rFont val="Arial"/>
        <family val="2"/>
      </rPr>
      <t>2023-2024</t>
    </r>
  </si>
  <si>
    <r>
      <rPr>
        <b/>
        <sz val="5.5"/>
        <rFont val="Arial"/>
        <family val="2"/>
      </rPr>
      <t>2024-2025</t>
    </r>
  </si>
  <si>
    <r>
      <rPr>
        <b/>
        <sz val="5.5"/>
        <rFont val="Arial"/>
        <family val="2"/>
      </rPr>
      <t>2025-2026</t>
    </r>
  </si>
  <si>
    <r>
      <rPr>
        <b/>
        <sz val="5.5"/>
        <rFont val="Arial"/>
        <family val="2"/>
      </rPr>
      <t>2026-2027</t>
    </r>
  </si>
  <si>
    <r>
      <rPr>
        <b/>
        <sz val="5.5"/>
        <rFont val="Arial"/>
        <family val="2"/>
      </rPr>
      <t>2027-2028</t>
    </r>
  </si>
  <si>
    <r>
      <rPr>
        <b/>
        <sz val="5.5"/>
        <rFont val="Arial"/>
        <family val="2"/>
      </rPr>
      <t>2028-2029</t>
    </r>
  </si>
  <si>
    <r>
      <rPr>
        <b/>
        <sz val="5.5"/>
        <rFont val="Arial"/>
        <family val="2"/>
      </rPr>
      <t>2029-2030</t>
    </r>
  </si>
  <si>
    <r>
      <rPr>
        <b/>
        <sz val="5.5"/>
        <rFont val="Arial"/>
        <family val="2"/>
      </rPr>
      <t>2030-2031</t>
    </r>
  </si>
  <si>
    <t>Operating budget</t>
  </si>
  <si>
    <t>Bonding</t>
  </si>
  <si>
    <t>Debt service %</t>
  </si>
  <si>
    <t>Capital reserve</t>
  </si>
  <si>
    <t>Mold Task Force acct.</t>
  </si>
  <si>
    <t>Other BOE bonding</t>
  </si>
  <si>
    <t>LTF Revenue</t>
  </si>
  <si>
    <r>
      <rPr>
        <sz val="5.5"/>
        <rFont val="Arial"/>
        <family val="2"/>
      </rPr>
      <t>2023-2024</t>
    </r>
  </si>
  <si>
    <r>
      <rPr>
        <sz val="5.5"/>
        <rFont val="Arial"/>
        <family val="2"/>
      </rPr>
      <t>2024-2025</t>
    </r>
  </si>
  <si>
    <r>
      <rPr>
        <sz val="5.5"/>
        <rFont val="Arial"/>
        <family val="2"/>
      </rPr>
      <t>2025-2026</t>
    </r>
  </si>
  <si>
    <r>
      <rPr>
        <sz val="5.5"/>
        <rFont val="Arial"/>
        <family val="2"/>
      </rPr>
      <t>2026-2027</t>
    </r>
  </si>
  <si>
    <r>
      <rPr>
        <sz val="5.5"/>
        <rFont val="Arial"/>
        <family val="2"/>
      </rPr>
      <t>2027-2028</t>
    </r>
  </si>
  <si>
    <r>
      <rPr>
        <sz val="5.5"/>
        <rFont val="Arial"/>
        <family val="2"/>
      </rPr>
      <t>2028-2029</t>
    </r>
  </si>
  <si>
    <r>
      <rPr>
        <sz val="5.5"/>
        <rFont val="Arial"/>
        <family val="2"/>
      </rPr>
      <t>2029-2030</t>
    </r>
  </si>
  <si>
    <r>
      <rPr>
        <sz val="5.5"/>
        <rFont val="Arial"/>
        <family val="2"/>
      </rPr>
      <t>2030-2031</t>
    </r>
  </si>
  <si>
    <t>Existing</t>
  </si>
  <si>
    <t>2031-2032</t>
  </si>
  <si>
    <t>2032-2033</t>
  </si>
  <si>
    <t>Total bonding</t>
  </si>
  <si>
    <t>Total debt service</t>
  </si>
  <si>
    <t>Increase in debt service</t>
  </si>
  <si>
    <t>Assumed annual growth in operating expenses</t>
  </si>
  <si>
    <t>LTF Expense**</t>
  </si>
  <si>
    <t>* Estimated</t>
  </si>
  <si>
    <t>BOE ESSER funds for capital*</t>
  </si>
  <si>
    <t>For reference</t>
  </si>
  <si>
    <t>Average assessed value - single family &amp; condominium</t>
  </si>
  <si>
    <t>Average mill rate, 2022-23</t>
  </si>
  <si>
    <t>Cells in yellow can be changed</t>
  </si>
  <si>
    <t>2022-23 taxes</t>
  </si>
  <si>
    <t>LONG-TERM FACILITIES FUNDING MODEL</t>
  </si>
  <si>
    <t>** Average Tier 2 funding requirement through 2032-33 (see graph on pg. 8 of SLAM presentation)</t>
  </si>
  <si>
    <t>Year-end LTF balance</t>
  </si>
  <si>
    <t>BOE unassigned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</si>
</sst>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name val="Arial"/>
      <family val="2"/>
    </font>
    <font>
      <sz val="5.5"/>
      <name val="Arial"/>
    </font>
    <font>
      <sz val="5.5"/>
      <name val="Arial"/>
      <family val="2"/>
    </font>
    <font>
      <sz val="5.5"/>
      <color rgb="FF000000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43" fontId="0" fillId="0" borderId="0" xfId="1" applyFont="1"/>
    <xf numFmtId="164" fontId="0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3" borderId="0" xfId="1" applyNumberFormat="1" applyFont="1" applyFill="1"/>
    <xf numFmtId="164" fontId="0" fillId="0" borderId="0" xfId="1" applyNumberFormat="1" applyFont="1" applyFill="1" applyBorder="1"/>
    <xf numFmtId="43" fontId="0" fillId="0" borderId="1" xfId="1" applyFont="1" applyFill="1" applyBorder="1"/>
    <xf numFmtId="164" fontId="0" fillId="0" borderId="4" xfId="1" applyNumberFormat="1" applyFont="1" applyBorder="1"/>
    <xf numFmtId="164" fontId="0" fillId="0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2" borderId="0" xfId="0" applyFill="1"/>
    <xf numFmtId="164" fontId="0" fillId="0" borderId="0" xfId="0" applyNumberFormat="1"/>
    <xf numFmtId="164" fontId="0" fillId="0" borderId="6" xfId="0" applyNumberFormat="1" applyBorder="1"/>
    <xf numFmtId="164" fontId="0" fillId="2" borderId="0" xfId="1" applyNumberFormat="1" applyFont="1" applyFill="1"/>
    <xf numFmtId="0" fontId="0" fillId="2" borderId="1" xfId="0" applyFill="1" applyBorder="1"/>
    <xf numFmtId="0" fontId="0" fillId="2" borderId="6" xfId="0" applyFill="1" applyBorder="1"/>
    <xf numFmtId="164" fontId="0" fillId="2" borderId="1" xfId="1" applyNumberFormat="1" applyFont="1" applyFill="1" applyBorder="1"/>
    <xf numFmtId="164" fontId="0" fillId="2" borderId="0" xfId="1" applyNumberFormat="1" applyFont="1" applyFill="1" applyBorder="1"/>
    <xf numFmtId="0" fontId="2" fillId="0" borderId="6" xfId="0" applyFont="1" applyBorder="1"/>
    <xf numFmtId="0" fontId="4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right" vertical="top" indent="1" shrinkToFit="1"/>
    </xf>
    <xf numFmtId="3" fontId="6" fillId="0" borderId="0" xfId="0" applyNumberFormat="1" applyFont="1" applyAlignment="1">
      <alignment horizontal="right" vertical="top" shrinkToFit="1"/>
    </xf>
    <xf numFmtId="0" fontId="4" fillId="0" borderId="0" xfId="0" applyFont="1" applyAlignment="1">
      <alignment horizontal="right" vertical="top" wrapText="1" indent="1"/>
    </xf>
    <xf numFmtId="43" fontId="0" fillId="0" borderId="0" xfId="0" applyNumberFormat="1"/>
    <xf numFmtId="43" fontId="0" fillId="0" borderId="1" xfId="0" applyNumberFormat="1" applyBorder="1"/>
    <xf numFmtId="164" fontId="2" fillId="0" borderId="3" xfId="1" applyNumberFormat="1" applyFont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164" fontId="0" fillId="2" borderId="2" xfId="1" applyNumberFormat="1" applyFont="1" applyFill="1" applyBorder="1"/>
    <xf numFmtId="165" fontId="0" fillId="0" borderId="2" xfId="2" applyNumberFormat="1" applyFont="1" applyBorder="1"/>
    <xf numFmtId="165" fontId="0" fillId="3" borderId="0" xfId="2" applyNumberFormat="1" applyFont="1" applyFill="1"/>
    <xf numFmtId="164" fontId="0" fillId="3" borderId="2" xfId="1" applyNumberFormat="1" applyFont="1" applyFill="1" applyBorder="1"/>
    <xf numFmtId="164" fontId="0" fillId="3" borderId="1" xfId="1" applyNumberFormat="1" applyFont="1" applyFill="1" applyBorder="1"/>
    <xf numFmtId="164" fontId="0" fillId="3" borderId="3" xfId="1" applyNumberFormat="1" applyFont="1" applyFill="1" applyBorder="1"/>
    <xf numFmtId="165" fontId="0" fillId="0" borderId="5" xfId="2" applyNumberFormat="1" applyFont="1" applyBorder="1"/>
    <xf numFmtId="0" fontId="0" fillId="0" borderId="6" xfId="0" applyBorder="1"/>
    <xf numFmtId="0" fontId="0" fillId="0" borderId="4" xfId="0" applyBorder="1"/>
    <xf numFmtId="164" fontId="8" fillId="3" borderId="1" xfId="1" applyNumberFormat="1" applyFont="1" applyFill="1" applyBorder="1" applyAlignment="1">
      <alignment horizontal="center"/>
    </xf>
    <xf numFmtId="164" fontId="0" fillId="0" borderId="6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638175</xdr:colOff>
      <xdr:row>18</xdr:row>
      <xdr:rowOff>166689</xdr:rowOff>
    </xdr:from>
    <xdr:to>
      <xdr:col>13</xdr:col>
      <xdr:colOff>138113</xdr:colOff>
      <xdr:row>35</xdr:row>
      <xdr:rowOff>176214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8F904E1-400E-892D-5B9C-47294BA1ADD5}"/>
            </a:ext>
          </a:extLst>
        </xdr:cNvPr>
        <xdr:cNvCxnSpPr/>
      </xdr:nvCxnSpPr>
      <xdr:spPr>
        <a:xfrm flipV="1">
          <a:off x="12230100" y="3605214"/>
          <a:ext cx="395288" cy="91440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E65A-2705-475A-9A89-1EF551D99DAA}">
  <dimension ref="A1:O52"/>
  <sheetViews>
    <sheetView tabSelected="1" workbookViewId="0">
      <selection activeCell="A7" sqref="A7"/>
    </sheetView>
  </sheetViews>
  <sheetFormatPr defaultRowHeight="14.35" x14ac:dyDescent="0.5"/>
  <cols>
    <col min="1" max="1" width="23.703125" customWidth="1"/>
    <col min="2" max="2" width="12" bestFit="1" customWidth="1"/>
    <col min="3" max="3" width="13.703125" bestFit="1" customWidth="1"/>
    <col min="4" max="11" width="12.5859375" bestFit="1" customWidth="1"/>
    <col min="12" max="12" width="12" bestFit="1" customWidth="1"/>
    <col min="13" max="13" width="12.52734375" bestFit="1" customWidth="1"/>
    <col min="14" max="15" width="11" bestFit="1" customWidth="1"/>
  </cols>
  <sheetData>
    <row r="1" spans="1:15" x14ac:dyDescent="0.5">
      <c r="A1" s="13" t="s">
        <v>42</v>
      </c>
    </row>
    <row r="2" spans="1:15" x14ac:dyDescent="0.5">
      <c r="A2" s="13" t="s">
        <v>40</v>
      </c>
    </row>
    <row r="4" spans="1:15" x14ac:dyDescent="0.5">
      <c r="A4" s="1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28</v>
      </c>
      <c r="M4" s="31" t="s">
        <v>29</v>
      </c>
    </row>
    <row r="5" spans="1:15" x14ac:dyDescent="0.5">
      <c r="A5" s="13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2"/>
    </row>
    <row r="6" spans="1:15" x14ac:dyDescent="0.5">
      <c r="A6" t="s">
        <v>13</v>
      </c>
      <c r="B6" s="19"/>
      <c r="C6" s="8">
        <v>0</v>
      </c>
      <c r="D6" s="8">
        <v>32000000</v>
      </c>
      <c r="E6" s="8">
        <v>32000000</v>
      </c>
      <c r="F6" s="8">
        <v>32000000</v>
      </c>
      <c r="G6" s="8">
        <v>32000000</v>
      </c>
      <c r="H6" s="8">
        <v>32000000</v>
      </c>
      <c r="I6" s="8">
        <v>32000000</v>
      </c>
      <c r="J6" s="8">
        <v>32000000</v>
      </c>
      <c r="K6" s="8">
        <v>32000000</v>
      </c>
      <c r="L6" s="8">
        <v>32000000</v>
      </c>
      <c r="M6" s="39">
        <v>32000000</v>
      </c>
    </row>
    <row r="7" spans="1:15" x14ac:dyDescent="0.5">
      <c r="A7" t="s">
        <v>15</v>
      </c>
      <c r="B7" s="16"/>
      <c r="C7" s="8">
        <v>20000000</v>
      </c>
      <c r="D7" s="1"/>
      <c r="E7" s="1"/>
      <c r="M7" s="33"/>
    </row>
    <row r="8" spans="1:15" x14ac:dyDescent="0.5">
      <c r="A8" t="s">
        <v>45</v>
      </c>
      <c r="B8" s="16"/>
      <c r="C8" s="8">
        <v>5577038</v>
      </c>
      <c r="M8" s="33"/>
    </row>
    <row r="9" spans="1:15" x14ac:dyDescent="0.5">
      <c r="A9" t="s">
        <v>16</v>
      </c>
      <c r="B9" s="16"/>
      <c r="C9" s="8">
        <v>1600000</v>
      </c>
      <c r="M9" s="33"/>
    </row>
    <row r="10" spans="1:15" x14ac:dyDescent="0.5">
      <c r="A10" s="15" t="s">
        <v>36</v>
      </c>
      <c r="B10" s="20"/>
      <c r="C10" s="45">
        <v>10000000</v>
      </c>
      <c r="D10" s="15"/>
      <c r="E10" s="15"/>
      <c r="F10" s="15"/>
      <c r="G10" s="15"/>
      <c r="H10" s="15"/>
      <c r="I10" s="15"/>
      <c r="J10" s="15"/>
      <c r="K10" s="15"/>
      <c r="L10" s="15"/>
      <c r="M10" s="34"/>
      <c r="O10" s="25"/>
    </row>
    <row r="11" spans="1:15" x14ac:dyDescent="0.5">
      <c r="A11" s="24" t="s">
        <v>34</v>
      </c>
      <c r="B11" s="21"/>
      <c r="C11" s="18">
        <v>1000000</v>
      </c>
      <c r="D11" s="46">
        <v>39000000</v>
      </c>
      <c r="E11" s="46">
        <v>35000000</v>
      </c>
      <c r="F11" s="46">
        <v>32000000</v>
      </c>
      <c r="G11" s="46">
        <v>45000000</v>
      </c>
      <c r="H11" s="46">
        <v>48000000</v>
      </c>
      <c r="I11" s="46">
        <v>44000000</v>
      </c>
      <c r="J11" s="46">
        <v>45000000</v>
      </c>
      <c r="K11" s="46">
        <v>41000000</v>
      </c>
      <c r="L11" s="46">
        <v>40000000</v>
      </c>
      <c r="M11" s="11">
        <v>48000000</v>
      </c>
      <c r="O11" s="26"/>
    </row>
    <row r="12" spans="1:15" x14ac:dyDescent="0.5">
      <c r="A12" s="13" t="s">
        <v>44</v>
      </c>
      <c r="B12" s="16"/>
      <c r="C12" s="17">
        <f>B12+SUM(C6:C10)-C11</f>
        <v>36177038</v>
      </c>
      <c r="D12" s="17">
        <f>C12+SUM(D6:D10)-D11</f>
        <v>29177038</v>
      </c>
      <c r="E12" s="17">
        <f>D12+SUM(E6:E10)-E11</f>
        <v>26177038</v>
      </c>
      <c r="F12" s="17">
        <f>E12+SUM(F6:F10)-F11</f>
        <v>26177038</v>
      </c>
      <c r="G12" s="17">
        <f>F12+SUM(G6:G10)-G11</f>
        <v>13177038</v>
      </c>
      <c r="H12" s="17">
        <f>G12+SUM(H6:H10)-H11</f>
        <v>-2822962</v>
      </c>
      <c r="I12" s="17">
        <f>H12+SUM(I6:I10)-I11</f>
        <v>-14822962</v>
      </c>
      <c r="J12" s="17">
        <f>I12+SUM(J6:J10)-J11</f>
        <v>-27822962</v>
      </c>
      <c r="K12" s="17">
        <f>J12+SUM(K6:K10)-K11</f>
        <v>-36822962</v>
      </c>
      <c r="L12" s="17">
        <f>K12+SUM(L6:L10)-L11</f>
        <v>-44822962</v>
      </c>
      <c r="M12" s="35">
        <f>L12+SUM(M6:M10)-M11</f>
        <v>-60822962</v>
      </c>
      <c r="O12" s="27"/>
    </row>
    <row r="13" spans="1:15" x14ac:dyDescent="0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2"/>
      <c r="O13" s="28"/>
    </row>
    <row r="14" spans="1:15" x14ac:dyDescent="0.5">
      <c r="A14" t="s">
        <v>1</v>
      </c>
      <c r="B14" s="19"/>
      <c r="C14" s="8">
        <v>35000000</v>
      </c>
      <c r="D14" s="8">
        <v>35000000</v>
      </c>
      <c r="E14" s="8">
        <v>35000000</v>
      </c>
      <c r="F14" s="8">
        <v>35000000</v>
      </c>
      <c r="G14" s="8">
        <v>35000000</v>
      </c>
      <c r="H14" s="8">
        <v>35000000</v>
      </c>
      <c r="I14" s="8">
        <v>35000000</v>
      </c>
      <c r="J14" s="8">
        <v>35000000</v>
      </c>
      <c r="K14" s="8">
        <v>35000000</v>
      </c>
      <c r="L14" s="8">
        <v>35000000</v>
      </c>
      <c r="M14" s="39">
        <v>35000000</v>
      </c>
      <c r="O14" s="28"/>
    </row>
    <row r="15" spans="1:15" x14ac:dyDescent="0.5">
      <c r="A15" s="15" t="s">
        <v>17</v>
      </c>
      <c r="B15" s="22"/>
      <c r="C15" s="40">
        <v>5000000</v>
      </c>
      <c r="D15" s="40">
        <v>3000000</v>
      </c>
      <c r="E15" s="40">
        <v>3000000</v>
      </c>
      <c r="F15" s="40">
        <v>3000000</v>
      </c>
      <c r="G15" s="40">
        <v>3000000</v>
      </c>
      <c r="H15" s="40">
        <v>3000000</v>
      </c>
      <c r="I15" s="40">
        <v>3000000</v>
      </c>
      <c r="J15" s="40">
        <v>3000000</v>
      </c>
      <c r="K15" s="40">
        <v>3000000</v>
      </c>
      <c r="L15" s="40">
        <v>3000000</v>
      </c>
      <c r="M15" s="41">
        <v>3000000</v>
      </c>
      <c r="O15" s="28"/>
    </row>
    <row r="16" spans="1:15" x14ac:dyDescent="0.5">
      <c r="A16" t="s">
        <v>30</v>
      </c>
      <c r="B16" s="23"/>
      <c r="C16" s="7">
        <f>C6+C14+C15</f>
        <v>40000000</v>
      </c>
      <c r="D16" s="7">
        <f>D6+D14+D15</f>
        <v>70000000</v>
      </c>
      <c r="E16" s="7">
        <f>E6+E14+E15</f>
        <v>70000000</v>
      </c>
      <c r="F16" s="7">
        <f>F6+F14+F15</f>
        <v>70000000</v>
      </c>
      <c r="G16" s="7">
        <f>G6+G14+G15</f>
        <v>70000000</v>
      </c>
      <c r="H16" s="7">
        <f>H6+H14+H15</f>
        <v>70000000</v>
      </c>
      <c r="I16" s="7">
        <f>I6+I14+I15</f>
        <v>70000000</v>
      </c>
      <c r="J16" s="7">
        <f>J6+J14+J15</f>
        <v>70000000</v>
      </c>
      <c r="K16" s="7">
        <f>K6+K14+K15</f>
        <v>70000000</v>
      </c>
      <c r="L16" s="7">
        <f>L6+L14+L15</f>
        <v>70000000</v>
      </c>
      <c r="M16" s="6">
        <f>M6+M14+M15</f>
        <v>70000000</v>
      </c>
      <c r="O16" s="28"/>
    </row>
    <row r="17" spans="1:15" x14ac:dyDescent="0.5">
      <c r="A17" s="1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6"/>
      <c r="O17" s="28"/>
    </row>
    <row r="18" spans="1:15" x14ac:dyDescent="0.5">
      <c r="A18" t="s">
        <v>0</v>
      </c>
      <c r="B18" s="1">
        <v>51013217</v>
      </c>
      <c r="C18" s="1">
        <f>C34</f>
        <v>52038753</v>
      </c>
      <c r="D18" s="1">
        <f t="shared" ref="D18:M18" si="0">D34</f>
        <v>55548059</v>
      </c>
      <c r="E18" s="1">
        <f t="shared" si="0"/>
        <v>58479080</v>
      </c>
      <c r="F18" s="1">
        <f t="shared" si="0"/>
        <v>61703779</v>
      </c>
      <c r="G18" s="1">
        <f t="shared" si="0"/>
        <v>63769733</v>
      </c>
      <c r="H18" s="1">
        <f t="shared" si="0"/>
        <v>68484273</v>
      </c>
      <c r="I18" s="1">
        <f t="shared" si="0"/>
        <v>68553931</v>
      </c>
      <c r="J18" s="1">
        <f t="shared" si="0"/>
        <v>73251537</v>
      </c>
      <c r="K18" s="1">
        <f t="shared" si="0"/>
        <v>76086624</v>
      </c>
      <c r="L18" s="1">
        <f t="shared" si="0"/>
        <v>79182995</v>
      </c>
      <c r="M18" s="6">
        <f t="shared" si="0"/>
        <v>81884503</v>
      </c>
      <c r="O18" s="28"/>
    </row>
    <row r="19" spans="1:15" x14ac:dyDescent="0.5">
      <c r="A19" t="s">
        <v>12</v>
      </c>
      <c r="B19" s="17">
        <f>ROUND(B18/B20, -5)</f>
        <v>622100000</v>
      </c>
      <c r="C19" s="17">
        <v>631059590</v>
      </c>
      <c r="D19" s="17">
        <f t="shared" ref="D19:M19" si="1">C19*(1+$N$19)</f>
        <v>646836079.75</v>
      </c>
      <c r="E19" s="17">
        <f t="shared" si="1"/>
        <v>663006981.74374998</v>
      </c>
      <c r="F19" s="17">
        <f t="shared" si="1"/>
        <v>679582156.28734362</v>
      </c>
      <c r="G19" s="17">
        <f t="shared" si="1"/>
        <v>696571710.19452715</v>
      </c>
      <c r="H19" s="17">
        <f t="shared" si="1"/>
        <v>713986002.94939029</v>
      </c>
      <c r="I19" s="17">
        <f t="shared" si="1"/>
        <v>731835653.02312493</v>
      </c>
      <c r="J19" s="17">
        <f t="shared" si="1"/>
        <v>750131544.34870303</v>
      </c>
      <c r="K19" s="17">
        <f t="shared" si="1"/>
        <v>768884832.95742059</v>
      </c>
      <c r="L19" s="17">
        <f t="shared" si="1"/>
        <v>788106953.78135598</v>
      </c>
      <c r="M19" s="35">
        <f t="shared" si="1"/>
        <v>807809627.62588978</v>
      </c>
      <c r="N19" s="38">
        <v>2.5000000000000001E-2</v>
      </c>
    </row>
    <row r="20" spans="1:15" s="2" customFormat="1" x14ac:dyDescent="0.5">
      <c r="A20" s="2" t="s">
        <v>14</v>
      </c>
      <c r="B20" s="2">
        <v>8.2000000000000003E-2</v>
      </c>
      <c r="C20" s="2">
        <f t="shared" ref="C20:M20" si="2">C18/C19</f>
        <v>8.2462502471438548E-2</v>
      </c>
      <c r="D20" s="2">
        <f t="shared" si="2"/>
        <v>8.5876562453765945E-2</v>
      </c>
      <c r="E20" s="2">
        <f t="shared" si="2"/>
        <v>8.8202811750483154E-2</v>
      </c>
      <c r="F20" s="2">
        <f t="shared" si="2"/>
        <v>9.0796643833464877E-2</v>
      </c>
      <c r="G20" s="2">
        <f t="shared" si="2"/>
        <v>9.1547980009396929E-2</v>
      </c>
      <c r="H20" s="2">
        <f t="shared" si="2"/>
        <v>9.5918229092866958E-2</v>
      </c>
      <c r="I20" s="2">
        <f t="shared" si="2"/>
        <v>9.3673942662962598E-2</v>
      </c>
      <c r="J20" s="2">
        <f t="shared" si="2"/>
        <v>9.7651588647162127E-2</v>
      </c>
      <c r="K20" s="2">
        <f t="shared" si="2"/>
        <v>9.8957113911770367E-2</v>
      </c>
      <c r="L20" s="2">
        <f t="shared" si="2"/>
        <v>0.10047239733145115</v>
      </c>
      <c r="M20" s="37">
        <f t="shared" si="2"/>
        <v>0.10136608948404623</v>
      </c>
      <c r="O20" s="28"/>
    </row>
    <row r="21" spans="1:15" x14ac:dyDescent="0.5">
      <c r="A21" t="s">
        <v>32</v>
      </c>
      <c r="B21" s="16"/>
      <c r="C21" s="16"/>
      <c r="D21" s="17">
        <f>D18-C18</f>
        <v>3509306</v>
      </c>
      <c r="E21" s="17">
        <f t="shared" ref="E21:M21" si="3">E18-D18</f>
        <v>2931021</v>
      </c>
      <c r="F21" s="17">
        <f t="shared" si="3"/>
        <v>3224699</v>
      </c>
      <c r="G21" s="17">
        <f t="shared" si="3"/>
        <v>2065954</v>
      </c>
      <c r="H21" s="17">
        <f t="shared" si="3"/>
        <v>4714540</v>
      </c>
      <c r="I21" s="17">
        <f t="shared" si="3"/>
        <v>69658</v>
      </c>
      <c r="J21" s="17">
        <f t="shared" si="3"/>
        <v>4697606</v>
      </c>
      <c r="K21" s="17">
        <f t="shared" si="3"/>
        <v>2835087</v>
      </c>
      <c r="L21" s="17">
        <f t="shared" si="3"/>
        <v>3096371</v>
      </c>
      <c r="M21" s="35">
        <f t="shared" si="3"/>
        <v>2701508</v>
      </c>
      <c r="N21" s="17">
        <f>SUM(D21:M21)</f>
        <v>29845750</v>
      </c>
      <c r="O21" s="2"/>
    </row>
    <row r="22" spans="1:15" x14ac:dyDescent="0.5"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5" hidden="1" x14ac:dyDescent="0.5">
      <c r="A23" t="s">
        <v>27</v>
      </c>
      <c r="C23" s="1">
        <v>51438753</v>
      </c>
      <c r="D23" s="1">
        <v>49481392</v>
      </c>
      <c r="E23" s="1">
        <v>46091997</v>
      </c>
      <c r="F23" s="1">
        <v>43130446</v>
      </c>
      <c r="G23" s="1">
        <v>39158900</v>
      </c>
      <c r="H23" s="1">
        <v>37984690</v>
      </c>
      <c r="I23" s="1">
        <v>32314348</v>
      </c>
      <c r="J23" s="1">
        <v>31420704</v>
      </c>
      <c r="K23" s="1">
        <v>28813291</v>
      </c>
      <c r="L23" s="1">
        <v>26615912</v>
      </c>
      <c r="M23" s="1">
        <v>24172420</v>
      </c>
    </row>
    <row r="24" spans="1:15" hidden="1" x14ac:dyDescent="0.5">
      <c r="A24" s="1" t="s">
        <v>19</v>
      </c>
      <c r="B24" s="29"/>
      <c r="C24" s="1">
        <f>600000*($D$16/70000000)</f>
        <v>600000</v>
      </c>
      <c r="D24" s="1">
        <f>6066667*($D$16/70000000)</f>
        <v>6066667</v>
      </c>
      <c r="E24" s="1">
        <f>6160000*($D$16/70000000)</f>
        <v>6160000</v>
      </c>
      <c r="F24" s="1">
        <f>6020000*($D$16/70000000)</f>
        <v>6020000</v>
      </c>
      <c r="G24" s="1">
        <f>5880000*($D$16/70000000)</f>
        <v>5880000</v>
      </c>
      <c r="H24" s="1">
        <f>5740000*($D$16/70000000)</f>
        <v>5740000</v>
      </c>
      <c r="I24" s="1">
        <f>5600000*($D$16/70000000)</f>
        <v>5600000</v>
      </c>
      <c r="J24" s="1">
        <f>5460000*($D$16/70000000)</f>
        <v>5460000</v>
      </c>
      <c r="K24" s="1">
        <f>5320000*($D$16/70000000)</f>
        <v>5320000</v>
      </c>
      <c r="L24" s="1">
        <f>5180000*($D$16/70000000)</f>
        <v>5180000</v>
      </c>
      <c r="M24" s="1">
        <f>5040000*($D$16/70000000)</f>
        <v>5040000</v>
      </c>
    </row>
    <row r="25" spans="1:15" hidden="1" x14ac:dyDescent="0.5">
      <c r="A25" s="1" t="s">
        <v>20</v>
      </c>
      <c r="B25" s="29"/>
      <c r="C25" s="1"/>
      <c r="D25" s="1"/>
      <c r="E25" s="1">
        <f>6227083*($E$16/70000000)</f>
        <v>6227083</v>
      </c>
      <c r="F25" s="1">
        <f>6326250*($E$16/70000000)</f>
        <v>6326250</v>
      </c>
      <c r="G25" s="1">
        <f>6177500*($E$16/70000000)</f>
        <v>6177500</v>
      </c>
      <c r="H25" s="1">
        <f>6028750*($E$16/70000000)</f>
        <v>6028750</v>
      </c>
      <c r="I25" s="1">
        <f>5880000*($E$16/70000000)</f>
        <v>5880000</v>
      </c>
      <c r="J25" s="1">
        <f>5731250*($E$16/70000000)</f>
        <v>5731250</v>
      </c>
      <c r="K25" s="1">
        <f>5582500*($E$16/70000000)</f>
        <v>5582500</v>
      </c>
      <c r="L25" s="1">
        <f>5433750*($E$16/70000000)</f>
        <v>5433750</v>
      </c>
      <c r="M25" s="1">
        <f>5285000*($E$16/70000000)</f>
        <v>5285000</v>
      </c>
    </row>
    <row r="26" spans="1:15" hidden="1" x14ac:dyDescent="0.5">
      <c r="A26" s="1" t="s">
        <v>21</v>
      </c>
      <c r="B26" s="29"/>
      <c r="C26" s="1"/>
      <c r="D26" s="1"/>
      <c r="E26" s="1"/>
      <c r="F26" s="1">
        <f>6227083*($F$16/70000000)</f>
        <v>6227083</v>
      </c>
      <c r="G26" s="1">
        <f>6326250*($F$16/70000000)</f>
        <v>6326250</v>
      </c>
      <c r="H26" s="1">
        <f>6177500*($F$16/70000000)</f>
        <v>6177500</v>
      </c>
      <c r="I26" s="1">
        <f>6028750*($F$16/70000000)</f>
        <v>6028750</v>
      </c>
      <c r="J26" s="1">
        <f>5880000*($F$16/70000000)</f>
        <v>5880000</v>
      </c>
      <c r="K26" s="1">
        <f>5731250*($F$16/70000000)</f>
        <v>5731250</v>
      </c>
      <c r="L26" s="1">
        <f>5582500*($F$16/70000000)</f>
        <v>5582500</v>
      </c>
      <c r="M26" s="1">
        <f>5433750*($F$16/70000000)</f>
        <v>5433750</v>
      </c>
    </row>
    <row r="27" spans="1:15" hidden="1" x14ac:dyDescent="0.5">
      <c r="A27" s="1" t="s">
        <v>22</v>
      </c>
      <c r="B27" s="29"/>
      <c r="C27" s="1"/>
      <c r="D27" s="1"/>
      <c r="E27" s="1"/>
      <c r="F27" s="1"/>
      <c r="G27" s="1">
        <f>6227083*($G$16/70000000)</f>
        <v>6227083</v>
      </c>
      <c r="H27" s="1">
        <f>6326250*($G$16/70000000)</f>
        <v>6326250</v>
      </c>
      <c r="I27" s="1">
        <f>6177500*($G$16/70000000)</f>
        <v>6177500</v>
      </c>
      <c r="J27" s="1">
        <f>6028750*($G$16/70000000)</f>
        <v>6028750</v>
      </c>
      <c r="K27" s="1">
        <f>5880000*($G$16/70000000)</f>
        <v>5880000</v>
      </c>
      <c r="L27" s="1">
        <f>5731250*($G$16/70000000)</f>
        <v>5731250</v>
      </c>
      <c r="M27" s="1">
        <f>5582500*($G$16/70000000)</f>
        <v>5582500</v>
      </c>
    </row>
    <row r="28" spans="1:15" hidden="1" x14ac:dyDescent="0.5">
      <c r="A28" s="1" t="s">
        <v>23</v>
      </c>
      <c r="B28" s="29"/>
      <c r="C28" s="1"/>
      <c r="D28" s="1"/>
      <c r="E28" s="1"/>
      <c r="F28" s="1"/>
      <c r="G28" s="1"/>
      <c r="H28" s="1">
        <f>6227083*($H$16/70000000)</f>
        <v>6227083</v>
      </c>
      <c r="I28" s="1">
        <f>6326250*($H$16/70000000)</f>
        <v>6326250</v>
      </c>
      <c r="J28" s="1">
        <f>6177500*($H$16/70000000)</f>
        <v>6177500</v>
      </c>
      <c r="K28" s="1">
        <f>6028750*($H$16/70000000)</f>
        <v>6028750</v>
      </c>
      <c r="L28" s="1">
        <f>5880000*($H$16/70000000)</f>
        <v>5880000</v>
      </c>
      <c r="M28" s="1">
        <f>5731250*($H$16/70000000)</f>
        <v>5731250</v>
      </c>
    </row>
    <row r="29" spans="1:15" hidden="1" x14ac:dyDescent="0.5">
      <c r="A29" s="1" t="s">
        <v>24</v>
      </c>
      <c r="B29" s="29"/>
      <c r="C29" s="1"/>
      <c r="D29" s="1"/>
      <c r="E29" s="1"/>
      <c r="F29" s="1"/>
      <c r="G29" s="1"/>
      <c r="H29" s="1"/>
      <c r="I29" s="1">
        <f>6227083*($I$16/70000000)</f>
        <v>6227083</v>
      </c>
      <c r="J29" s="1">
        <f>6326250*($I$16/70000000)</f>
        <v>6326250</v>
      </c>
      <c r="K29" s="1">
        <f>6177500*($I$16/70000000)</f>
        <v>6177500</v>
      </c>
      <c r="L29" s="1">
        <f>6028750*($I$16/70000000)</f>
        <v>6028750</v>
      </c>
      <c r="M29" s="1">
        <f>5880000*($I$16/70000000)</f>
        <v>5880000</v>
      </c>
    </row>
    <row r="30" spans="1:15" hidden="1" x14ac:dyDescent="0.5">
      <c r="A30" s="1" t="s">
        <v>25</v>
      </c>
      <c r="B30" s="29"/>
      <c r="C30" s="1"/>
      <c r="D30" s="1"/>
      <c r="E30" s="1"/>
      <c r="F30" s="1"/>
      <c r="G30" s="1"/>
      <c r="H30" s="1"/>
      <c r="I30" s="1"/>
      <c r="J30" s="1">
        <f>6227083*($J$16/70000000)</f>
        <v>6227083</v>
      </c>
      <c r="K30" s="1">
        <f>6326250*($J$16/70000000)</f>
        <v>6326250</v>
      </c>
      <c r="L30" s="1">
        <f>6177500*($J$16/70000000)</f>
        <v>6177500</v>
      </c>
      <c r="M30" s="1">
        <f>6028750*($J$16/70000000)</f>
        <v>6028750</v>
      </c>
    </row>
    <row r="31" spans="1:15" hidden="1" x14ac:dyDescent="0.5">
      <c r="A31" s="7" t="s">
        <v>26</v>
      </c>
      <c r="B31" s="29"/>
      <c r="C31" s="1"/>
      <c r="D31" s="1"/>
      <c r="E31" s="1"/>
      <c r="F31" s="1"/>
      <c r="G31" s="1"/>
      <c r="H31" s="1"/>
      <c r="I31" s="1"/>
      <c r="J31" s="1"/>
      <c r="K31" s="1">
        <f>6227083*($K$16/70000000)</f>
        <v>6227083</v>
      </c>
      <c r="L31" s="1">
        <f>6326250*($K$16/70000000)</f>
        <v>6326250</v>
      </c>
      <c r="M31" s="1">
        <f>6177500*($K$16/70000000)</f>
        <v>6177500</v>
      </c>
    </row>
    <row r="32" spans="1:15" hidden="1" x14ac:dyDescent="0.5">
      <c r="A32" s="9" t="s">
        <v>28</v>
      </c>
      <c r="B32" s="29"/>
      <c r="C32" s="1"/>
      <c r="D32" s="1"/>
      <c r="E32" s="1"/>
      <c r="F32" s="1"/>
      <c r="G32" s="1"/>
      <c r="H32" s="1"/>
      <c r="I32" s="1"/>
      <c r="J32" s="1"/>
      <c r="K32" s="1"/>
      <c r="L32" s="1">
        <f>6227083*($L$16/70000000)</f>
        <v>6227083</v>
      </c>
      <c r="M32" s="1">
        <f>6326250*($L$16/70000000)</f>
        <v>6326250</v>
      </c>
    </row>
    <row r="33" spans="1:13" hidden="1" x14ac:dyDescent="0.5">
      <c r="A33" s="12" t="s">
        <v>29</v>
      </c>
      <c r="B33" s="30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f>6227083*($M$16/70000000)</f>
        <v>6227083</v>
      </c>
    </row>
    <row r="34" spans="1:13" hidden="1" x14ac:dyDescent="0.5">
      <c r="A34" s="9" t="s">
        <v>31</v>
      </c>
      <c r="C34" s="17">
        <v>52038753</v>
      </c>
      <c r="D34" s="17">
        <f t="shared" ref="D34:M34" si="4">SUM(D23:D33)</f>
        <v>55548059</v>
      </c>
      <c r="E34" s="17">
        <f t="shared" si="4"/>
        <v>58479080</v>
      </c>
      <c r="F34" s="17">
        <f t="shared" si="4"/>
        <v>61703779</v>
      </c>
      <c r="G34" s="17">
        <f t="shared" si="4"/>
        <v>63769733</v>
      </c>
      <c r="H34" s="17">
        <f t="shared" si="4"/>
        <v>68484273</v>
      </c>
      <c r="I34" s="17">
        <f t="shared" si="4"/>
        <v>68553931</v>
      </c>
      <c r="J34" s="17">
        <f t="shared" si="4"/>
        <v>73251537</v>
      </c>
      <c r="K34" s="17">
        <f t="shared" si="4"/>
        <v>76086624</v>
      </c>
      <c r="L34" s="17">
        <f t="shared" si="4"/>
        <v>79182995</v>
      </c>
      <c r="M34" s="17">
        <f t="shared" si="4"/>
        <v>81884503</v>
      </c>
    </row>
    <row r="35" spans="1:13" x14ac:dyDescent="0.5">
      <c r="A35" s="9" t="s">
        <v>35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5">
      <c r="A36" t="s">
        <v>43</v>
      </c>
    </row>
    <row r="37" spans="1:13" x14ac:dyDescent="0.5">
      <c r="K37" s="42" t="s">
        <v>33</v>
      </c>
      <c r="L37" s="43"/>
      <c r="M37" s="44"/>
    </row>
    <row r="39" spans="1:13" x14ac:dyDescent="0.5">
      <c r="A39" s="10" t="s">
        <v>37</v>
      </c>
      <c r="B39" s="15"/>
      <c r="C39" s="30"/>
      <c r="D39" s="15"/>
    </row>
    <row r="40" spans="1:13" x14ac:dyDescent="0.5">
      <c r="A40" s="3" t="s">
        <v>38</v>
      </c>
      <c r="D40" s="1">
        <v>352000</v>
      </c>
    </row>
    <row r="41" spans="1:13" x14ac:dyDescent="0.5">
      <c r="A41" s="3" t="s">
        <v>39</v>
      </c>
      <c r="D41" s="3">
        <v>26.96</v>
      </c>
    </row>
    <row r="42" spans="1:13" x14ac:dyDescent="0.5">
      <c r="A42" s="3" t="s">
        <v>41</v>
      </c>
      <c r="D42" s="1">
        <f>D40*D41/1000</f>
        <v>9489.92</v>
      </c>
    </row>
    <row r="46" spans="1:13" x14ac:dyDescent="0.5">
      <c r="C46" s="29"/>
    </row>
    <row r="47" spans="1:13" x14ac:dyDescent="0.5">
      <c r="C47" s="29"/>
    </row>
    <row r="48" spans="1:13" x14ac:dyDescent="0.5">
      <c r="C48" s="29"/>
    </row>
    <row r="49" spans="3:3" x14ac:dyDescent="0.5">
      <c r="C49" s="29"/>
    </row>
    <row r="50" spans="3:3" x14ac:dyDescent="0.5">
      <c r="C50" s="29"/>
    </row>
    <row r="51" spans="3:3" x14ac:dyDescent="0.5">
      <c r="C51" s="29"/>
    </row>
    <row r="52" spans="3:3" x14ac:dyDescent="0.5">
      <c r="C52" s="29"/>
    </row>
  </sheetData>
  <phoneticPr fontId="7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Freedman</dc:creator>
  <cp:lastModifiedBy>Richard Freedman</cp:lastModifiedBy>
  <cp:lastPrinted>2022-02-10T20:24:14Z</cp:lastPrinted>
  <dcterms:created xsi:type="dcterms:W3CDTF">2021-12-08T18:40:39Z</dcterms:created>
  <dcterms:modified xsi:type="dcterms:W3CDTF">2022-10-24T22:28:03Z</dcterms:modified>
</cp:coreProperties>
</file>