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mfordct1-my.sharepoint.com/personal/bmark_stamfordct_gov/Documents/"/>
    </mc:Choice>
  </mc:AlternateContent>
  <xr:revisionPtr revIDLastSave="0" documentId="8_{B775F0B2-0EA0-4A89-8638-7CB4E07EDEB5}" xr6:coauthVersionLast="47" xr6:coauthVersionMax="47" xr10:uidLastSave="{00000000-0000-0000-0000-000000000000}"/>
  <bookViews>
    <workbookView xWindow="28680" yWindow="-120" windowWidth="24240" windowHeight="13740" tabRatio="784" xr2:uid="{96F7716B-B8DE-4CA7-A496-950B67822BF5}"/>
  </bookViews>
  <sheets>
    <sheet name="Grant vs No Grant Summary" sheetId="5" r:id="rId1"/>
    <sheet name="Energy Usage Cash Flow Examples" sheetId="3" r:id="rId2"/>
    <sheet name="Purchase Summary" sheetId="4" state="hidden" r:id="rId3"/>
    <sheet name="Level 2 Chargers" sheetId="2" state="hidden" r:id="rId4"/>
    <sheet name="Level 3 Chargers" sheetId="1" state="hidden" r:id="rId5"/>
  </sheets>
  <definedNames>
    <definedName name="List_Yes_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5" l="1"/>
  <c r="L45" i="5"/>
  <c r="H73" i="2" l="1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G73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G72" i="2"/>
  <c r="D25" i="5"/>
  <c r="Z34" i="5"/>
  <c r="Z35" i="5"/>
  <c r="Z39" i="5" s="1"/>
  <c r="Z41" i="5"/>
  <c r="H58" i="2"/>
  <c r="Y58" i="2"/>
  <c r="Z58" i="2"/>
  <c r="AA58" i="2"/>
  <c r="AB58" i="2"/>
  <c r="AC58" i="2"/>
  <c r="AD58" i="2"/>
  <c r="AE58" i="2"/>
  <c r="AF58" i="2"/>
  <c r="AG58" i="2"/>
  <c r="AH58" i="2"/>
  <c r="AI58" i="2"/>
  <c r="G58" i="2"/>
  <c r="H49" i="2"/>
  <c r="I49" i="2"/>
  <c r="I58" i="2" s="1"/>
  <c r="J49" i="2"/>
  <c r="J58" i="2" s="1"/>
  <c r="K49" i="2"/>
  <c r="K58" i="2" s="1"/>
  <c r="L49" i="2"/>
  <c r="L58" i="2" s="1"/>
  <c r="M49" i="2"/>
  <c r="M58" i="2" s="1"/>
  <c r="N49" i="2"/>
  <c r="N58" i="2" s="1"/>
  <c r="O49" i="2"/>
  <c r="O58" i="2" s="1"/>
  <c r="P49" i="2"/>
  <c r="P58" i="2" s="1"/>
  <c r="Q49" i="2"/>
  <c r="Q58" i="2" s="1"/>
  <c r="R49" i="2"/>
  <c r="R58" i="2" s="1"/>
  <c r="S49" i="2"/>
  <c r="S58" i="2" s="1"/>
  <c r="T49" i="2"/>
  <c r="T58" i="2" s="1"/>
  <c r="U49" i="2"/>
  <c r="U58" i="2" s="1"/>
  <c r="V49" i="2"/>
  <c r="V58" i="2" s="1"/>
  <c r="W49" i="2"/>
  <c r="W58" i="2" s="1"/>
  <c r="X49" i="2"/>
  <c r="X58" i="2" s="1"/>
  <c r="Y49" i="2"/>
  <c r="Z49" i="2"/>
  <c r="AA49" i="2"/>
  <c r="AB49" i="2"/>
  <c r="AC49" i="2"/>
  <c r="AD49" i="2"/>
  <c r="AE49" i="2"/>
  <c r="AF49" i="2"/>
  <c r="AG49" i="2"/>
  <c r="AH49" i="2"/>
  <c r="AI49" i="2"/>
  <c r="G49" i="2"/>
  <c r="B4" i="4"/>
  <c r="E25" i="5"/>
  <c r="W41" i="5"/>
  <c r="X41" i="5"/>
  <c r="Y41" i="5"/>
  <c r="AB34" i="1"/>
  <c r="AC34" i="1" s="1"/>
  <c r="AD34" i="1" s="1"/>
  <c r="AE34" i="1" s="1"/>
  <c r="AF34" i="1" s="1"/>
  <c r="AG34" i="1" s="1"/>
  <c r="AH34" i="1" s="1"/>
  <c r="AI34" i="1" s="1"/>
  <c r="AD36" i="1"/>
  <c r="AB39" i="1"/>
  <c r="AB49" i="1" s="1"/>
  <c r="AC39" i="1"/>
  <c r="AC36" i="1" s="1"/>
  <c r="AD39" i="1"/>
  <c r="AE39" i="1"/>
  <c r="AE36" i="1" s="1"/>
  <c r="AF39" i="1"/>
  <c r="AF36" i="1" s="1"/>
  <c r="AG39" i="1"/>
  <c r="AG36" i="1" s="1"/>
  <c r="AH39" i="1"/>
  <c r="AI39" i="1"/>
  <c r="AB42" i="1"/>
  <c r="AC42" i="1"/>
  <c r="AD42" i="1"/>
  <c r="AE42" i="1"/>
  <c r="AF42" i="1"/>
  <c r="AF50" i="1" s="1"/>
  <c r="AF59" i="1" s="1"/>
  <c r="AF70" i="1" s="1"/>
  <c r="AG42" i="1"/>
  <c r="AH42" i="1"/>
  <c r="AH36" i="1" s="1"/>
  <c r="AI42" i="1"/>
  <c r="AI36" i="1" s="1"/>
  <c r="AB45" i="1"/>
  <c r="AC45" i="1"/>
  <c r="AD45" i="1"/>
  <c r="AE45" i="1"/>
  <c r="AF45" i="1"/>
  <c r="AG45" i="1"/>
  <c r="AH45" i="1"/>
  <c r="AI45" i="1"/>
  <c r="AD48" i="1"/>
  <c r="AD57" i="1" s="1"/>
  <c r="AD78" i="1" s="1"/>
  <c r="AC49" i="1"/>
  <c r="AC58" i="1" s="1"/>
  <c r="AC69" i="1" s="1"/>
  <c r="AC68" i="1" s="1"/>
  <c r="AD49" i="1"/>
  <c r="AE49" i="1"/>
  <c r="AE48" i="1" s="1"/>
  <c r="AE57" i="1" s="1"/>
  <c r="AE78" i="1" s="1"/>
  <c r="AF49" i="1"/>
  <c r="AF48" i="1" s="1"/>
  <c r="AF57" i="1" s="1"/>
  <c r="AF78" i="1" s="1"/>
  <c r="AG49" i="1"/>
  <c r="AG48" i="1" s="1"/>
  <c r="AG57" i="1" s="1"/>
  <c r="AG78" i="1" s="1"/>
  <c r="AH49" i="1"/>
  <c r="AI49" i="1"/>
  <c r="AB50" i="1"/>
  <c r="AB59" i="1" s="1"/>
  <c r="AB70" i="1" s="1"/>
  <c r="AC50" i="1"/>
  <c r="AC59" i="1" s="1"/>
  <c r="AC70" i="1" s="1"/>
  <c r="AD50" i="1"/>
  <c r="AD59" i="1" s="1"/>
  <c r="AD70" i="1" s="1"/>
  <c r="AE50" i="1"/>
  <c r="AE59" i="1" s="1"/>
  <c r="AE70" i="1" s="1"/>
  <c r="AG50" i="1"/>
  <c r="AH50" i="1"/>
  <c r="AH48" i="1" s="1"/>
  <c r="AH57" i="1" s="1"/>
  <c r="AH78" i="1" s="1"/>
  <c r="AI50" i="1"/>
  <c r="AI48" i="1" s="1"/>
  <c r="AI57" i="1" s="1"/>
  <c r="AI78" i="1" s="1"/>
  <c r="AB51" i="1"/>
  <c r="AC51" i="1"/>
  <c r="AD51" i="1"/>
  <c r="AE51" i="1"/>
  <c r="AE60" i="1" s="1"/>
  <c r="AE71" i="1" s="1"/>
  <c r="AF51" i="1"/>
  <c r="AF60" i="1" s="1"/>
  <c r="AF71" i="1" s="1"/>
  <c r="AG51" i="1"/>
  <c r="AG60" i="1" s="1"/>
  <c r="AG71" i="1" s="1"/>
  <c r="AH51" i="1"/>
  <c r="AH60" i="1" s="1"/>
  <c r="AH71" i="1" s="1"/>
  <c r="AI51" i="1"/>
  <c r="AI60" i="1" s="1"/>
  <c r="AI71" i="1" s="1"/>
  <c r="AB54" i="1"/>
  <c r="AC54" i="1"/>
  <c r="AD54" i="1"/>
  <c r="AE54" i="1" s="1"/>
  <c r="AF54" i="1" s="1"/>
  <c r="AG54" i="1" s="1"/>
  <c r="AH54" i="1" s="1"/>
  <c r="AI54" i="1" s="1"/>
  <c r="AD58" i="1"/>
  <c r="AD69" i="1" s="1"/>
  <c r="AD68" i="1" s="1"/>
  <c r="AE58" i="1"/>
  <c r="AE69" i="1" s="1"/>
  <c r="AE68" i="1" s="1"/>
  <c r="AF58" i="1"/>
  <c r="AF69" i="1" s="1"/>
  <c r="AH58" i="1"/>
  <c r="AI58" i="1"/>
  <c r="AG59" i="1"/>
  <c r="AG70" i="1" s="1"/>
  <c r="AH59" i="1"/>
  <c r="AH70" i="1" s="1"/>
  <c r="AI59" i="1"/>
  <c r="AI70" i="1" s="1"/>
  <c r="AB60" i="1"/>
  <c r="AC60" i="1"/>
  <c r="AD60" i="1"/>
  <c r="AD71" i="1" s="1"/>
  <c r="AB64" i="1"/>
  <c r="AC64" i="1"/>
  <c r="AD64" i="1" s="1"/>
  <c r="AE64" i="1" s="1"/>
  <c r="AF64" i="1" s="1"/>
  <c r="AG64" i="1" s="1"/>
  <c r="AH64" i="1" s="1"/>
  <c r="AI64" i="1" s="1"/>
  <c r="AH69" i="1"/>
  <c r="AI69" i="1"/>
  <c r="AB71" i="1"/>
  <c r="AC71" i="1"/>
  <c r="AB74" i="1"/>
  <c r="AC74" i="1"/>
  <c r="AD74" i="1"/>
  <c r="AE74" i="1"/>
  <c r="AF74" i="1"/>
  <c r="AG74" i="1" s="1"/>
  <c r="AH74" i="1" s="1"/>
  <c r="AI74" i="1" s="1"/>
  <c r="AB83" i="1"/>
  <c r="AC83" i="1" s="1"/>
  <c r="AD83" i="1" s="1"/>
  <c r="AE83" i="1" s="1"/>
  <c r="AF83" i="1" s="1"/>
  <c r="AG83" i="1" s="1"/>
  <c r="AH83" i="1" s="1"/>
  <c r="AI83" i="1" s="1"/>
  <c r="AB88" i="1"/>
  <c r="AC88" i="1"/>
  <c r="AD88" i="1"/>
  <c r="AE88" i="1"/>
  <c r="AF88" i="1"/>
  <c r="AG88" i="1"/>
  <c r="AH88" i="1"/>
  <c r="AI88" i="1"/>
  <c r="AB98" i="1"/>
  <c r="AC98" i="1"/>
  <c r="AD98" i="1" s="1"/>
  <c r="AE98" i="1" s="1"/>
  <c r="AF98" i="1" s="1"/>
  <c r="AG98" i="1" s="1"/>
  <c r="AH98" i="1" s="1"/>
  <c r="AI98" i="1" s="1"/>
  <c r="AB34" i="2"/>
  <c r="AC34" i="2" s="1"/>
  <c r="AD34" i="2" s="1"/>
  <c r="AE34" i="2" s="1"/>
  <c r="AF34" i="2" s="1"/>
  <c r="AG34" i="2" s="1"/>
  <c r="AH34" i="2" s="1"/>
  <c r="AI34" i="2" s="1"/>
  <c r="AB36" i="2"/>
  <c r="AB39" i="2"/>
  <c r="AC39" i="2"/>
  <c r="AD39" i="2"/>
  <c r="AE39" i="2"/>
  <c r="AF39" i="2"/>
  <c r="AF36" i="2" s="1"/>
  <c r="AG39" i="2"/>
  <c r="AG36" i="2" s="1"/>
  <c r="AH39" i="2"/>
  <c r="AH36" i="2" s="1"/>
  <c r="AI39" i="2"/>
  <c r="AB42" i="2"/>
  <c r="AC42" i="2"/>
  <c r="AD42" i="2"/>
  <c r="AE42" i="2"/>
  <c r="AF42" i="2"/>
  <c r="AF50" i="2" s="1"/>
  <c r="AF59" i="2" s="1"/>
  <c r="AF70" i="2" s="1"/>
  <c r="AG42" i="2"/>
  <c r="AG50" i="2" s="1"/>
  <c r="AG59" i="2" s="1"/>
  <c r="AG70" i="2" s="1"/>
  <c r="AH42" i="2"/>
  <c r="AH50" i="2" s="1"/>
  <c r="AH59" i="2" s="1"/>
  <c r="AH70" i="2" s="1"/>
  <c r="AI42" i="2"/>
  <c r="AI50" i="2" s="1"/>
  <c r="AI59" i="2" s="1"/>
  <c r="AI70" i="2" s="1"/>
  <c r="AB45" i="2"/>
  <c r="AB51" i="2" s="1"/>
  <c r="AB60" i="2" s="1"/>
  <c r="AB71" i="2" s="1"/>
  <c r="AC45" i="2"/>
  <c r="AC51" i="2" s="1"/>
  <c r="AC60" i="2" s="1"/>
  <c r="AC71" i="2" s="1"/>
  <c r="AD45" i="2"/>
  <c r="AD36" i="2" s="1"/>
  <c r="AE45" i="2"/>
  <c r="AE51" i="2" s="1"/>
  <c r="AE60" i="2" s="1"/>
  <c r="AE71" i="2" s="1"/>
  <c r="AF45" i="2"/>
  <c r="AG45" i="2"/>
  <c r="AH45" i="2"/>
  <c r="AI45" i="2"/>
  <c r="AB50" i="2"/>
  <c r="AB59" i="2" s="1"/>
  <c r="AB70" i="2" s="1"/>
  <c r="AC50" i="2"/>
  <c r="AC59" i="2" s="1"/>
  <c r="AC70" i="2" s="1"/>
  <c r="AD50" i="2"/>
  <c r="AD59" i="2" s="1"/>
  <c r="AD70" i="2" s="1"/>
  <c r="AE50" i="2"/>
  <c r="AE59" i="2" s="1"/>
  <c r="AE70" i="2" s="1"/>
  <c r="AF51" i="2"/>
  <c r="AF60" i="2" s="1"/>
  <c r="AF71" i="2" s="1"/>
  <c r="AG51" i="2"/>
  <c r="AG60" i="2" s="1"/>
  <c r="AG71" i="2" s="1"/>
  <c r="AH51" i="2"/>
  <c r="AH60" i="2" s="1"/>
  <c r="AH71" i="2" s="1"/>
  <c r="AI51" i="2"/>
  <c r="AI60" i="2" s="1"/>
  <c r="AI71" i="2" s="1"/>
  <c r="AB54" i="2"/>
  <c r="AC54" i="2" s="1"/>
  <c r="AD54" i="2" s="1"/>
  <c r="AE54" i="2" s="1"/>
  <c r="AF54" i="2" s="1"/>
  <c r="AG54" i="2" s="1"/>
  <c r="AH54" i="2" s="1"/>
  <c r="AI54" i="2" s="1"/>
  <c r="AB64" i="2"/>
  <c r="AC64" i="2"/>
  <c r="AD64" i="2"/>
  <c r="AE64" i="2"/>
  <c r="AF64" i="2"/>
  <c r="AG64" i="2"/>
  <c r="AH64" i="2"/>
  <c r="AI64" i="2"/>
  <c r="AB74" i="2"/>
  <c r="AC74" i="2"/>
  <c r="AD74" i="2"/>
  <c r="AE74" i="2"/>
  <c r="AF74" i="2" s="1"/>
  <c r="AG74" i="2" s="1"/>
  <c r="AH74" i="2" s="1"/>
  <c r="AI74" i="2" s="1"/>
  <c r="AB83" i="2"/>
  <c r="AC83" i="2" s="1"/>
  <c r="AD83" i="2" s="1"/>
  <c r="AE83" i="2" s="1"/>
  <c r="AF83" i="2" s="1"/>
  <c r="AG83" i="2" s="1"/>
  <c r="AH83" i="2" s="1"/>
  <c r="AI83" i="2" s="1"/>
  <c r="AB88" i="2"/>
  <c r="AC88" i="2"/>
  <c r="AD88" i="2"/>
  <c r="AE88" i="2"/>
  <c r="AF88" i="2"/>
  <c r="AG88" i="2"/>
  <c r="AH88" i="2"/>
  <c r="AI88" i="2"/>
  <c r="AB98" i="2"/>
  <c r="AC98" i="2" s="1"/>
  <c r="AD98" i="2" s="1"/>
  <c r="AE98" i="2" s="1"/>
  <c r="AF98" i="2" s="1"/>
  <c r="AG98" i="2" s="1"/>
  <c r="AH98" i="2" s="1"/>
  <c r="AI98" i="2" s="1"/>
  <c r="E83" i="3"/>
  <c r="E84" i="3"/>
  <c r="B30" i="5"/>
  <c r="U42" i="5" s="1"/>
  <c r="E41" i="5"/>
  <c r="Z34" i="2"/>
  <c r="AA34" i="2" s="1"/>
  <c r="Z39" i="2"/>
  <c r="AA39" i="2"/>
  <c r="Z42" i="2"/>
  <c r="Z50" i="2" s="1"/>
  <c r="Z59" i="2" s="1"/>
  <c r="Z70" i="2" s="1"/>
  <c r="AA42" i="2"/>
  <c r="AA50" i="2" s="1"/>
  <c r="AA59" i="2" s="1"/>
  <c r="AA70" i="2" s="1"/>
  <c r="Z45" i="2"/>
  <c r="Z51" i="2" s="1"/>
  <c r="Z60" i="2" s="1"/>
  <c r="Z71" i="2" s="1"/>
  <c r="AA45" i="2"/>
  <c r="AA51" i="2" s="1"/>
  <c r="AA60" i="2" s="1"/>
  <c r="AA71" i="2" s="1"/>
  <c r="Z54" i="2"/>
  <c r="AA54" i="2"/>
  <c r="Z64" i="2"/>
  <c r="AA64" i="2"/>
  <c r="Z74" i="2"/>
  <c r="AA74" i="2"/>
  <c r="Z83" i="2"/>
  <c r="AA83" i="2" s="1"/>
  <c r="Z88" i="2"/>
  <c r="AA88" i="2"/>
  <c r="Z98" i="2"/>
  <c r="AA98" i="2" s="1"/>
  <c r="Z34" i="1"/>
  <c r="AA34" i="1" s="1"/>
  <c r="Z39" i="1"/>
  <c r="Z49" i="1" s="1"/>
  <c r="Z58" i="1" s="1"/>
  <c r="Z69" i="1" s="1"/>
  <c r="AA39" i="1"/>
  <c r="AA49" i="1" s="1"/>
  <c r="Z42" i="1"/>
  <c r="AA42" i="1"/>
  <c r="AA50" i="1" s="1"/>
  <c r="AA59" i="1" s="1"/>
  <c r="AA70" i="1" s="1"/>
  <c r="Z45" i="1"/>
  <c r="Z51" i="1" s="1"/>
  <c r="Z60" i="1" s="1"/>
  <c r="Z71" i="1" s="1"/>
  <c r="AA45" i="1"/>
  <c r="AA51" i="1" s="1"/>
  <c r="AA60" i="1" s="1"/>
  <c r="AA71" i="1" s="1"/>
  <c r="Z54" i="1"/>
  <c r="AA54" i="1"/>
  <c r="Z64" i="1"/>
  <c r="AA64" i="1"/>
  <c r="Z74" i="1"/>
  <c r="AA74" i="1" s="1"/>
  <c r="Z83" i="1"/>
  <c r="AA83" i="1" s="1"/>
  <c r="Z88" i="1"/>
  <c r="AA88" i="1"/>
  <c r="Z98" i="1"/>
  <c r="AA98" i="1" s="1"/>
  <c r="U41" i="5"/>
  <c r="V41" i="5"/>
  <c r="Q41" i="5"/>
  <c r="R41" i="5"/>
  <c r="S41" i="5"/>
  <c r="T41" i="5"/>
  <c r="K41" i="5"/>
  <c r="L41" i="5"/>
  <c r="M41" i="5"/>
  <c r="N41" i="5"/>
  <c r="O41" i="5"/>
  <c r="P41" i="5"/>
  <c r="P34" i="1"/>
  <c r="Q34" i="1" s="1"/>
  <c r="R34" i="1" s="1"/>
  <c r="S34" i="1" s="1"/>
  <c r="T34" i="1" s="1"/>
  <c r="U34" i="1" s="1"/>
  <c r="V34" i="1" s="1"/>
  <c r="W34" i="1" s="1"/>
  <c r="X34" i="1" s="1"/>
  <c r="Y34" i="1" s="1"/>
  <c r="P39" i="1"/>
  <c r="P49" i="1" s="1"/>
  <c r="Q39" i="1"/>
  <c r="Q49" i="1" s="1"/>
  <c r="R39" i="1"/>
  <c r="R36" i="1" s="1"/>
  <c r="S39" i="1"/>
  <c r="S36" i="1" s="1"/>
  <c r="T39" i="1"/>
  <c r="U39" i="1"/>
  <c r="V39" i="1"/>
  <c r="V49" i="1" s="1"/>
  <c r="V58" i="1" s="1"/>
  <c r="V69" i="1" s="1"/>
  <c r="W39" i="1"/>
  <c r="W49" i="1" s="1"/>
  <c r="W58" i="1" s="1"/>
  <c r="W69" i="1" s="1"/>
  <c r="X39" i="1"/>
  <c r="Y39" i="1"/>
  <c r="P42" i="1"/>
  <c r="Q42" i="1"/>
  <c r="R42" i="1"/>
  <c r="R50" i="1" s="1"/>
  <c r="R59" i="1" s="1"/>
  <c r="R70" i="1" s="1"/>
  <c r="S42" i="1"/>
  <c r="S50" i="1" s="1"/>
  <c r="S59" i="1" s="1"/>
  <c r="S70" i="1" s="1"/>
  <c r="T42" i="1"/>
  <c r="U42" i="1"/>
  <c r="V42" i="1"/>
  <c r="V50" i="1" s="1"/>
  <c r="V59" i="1" s="1"/>
  <c r="V70" i="1" s="1"/>
  <c r="W42" i="1"/>
  <c r="W50" i="1" s="1"/>
  <c r="W59" i="1" s="1"/>
  <c r="W70" i="1" s="1"/>
  <c r="X42" i="1"/>
  <c r="Y42" i="1"/>
  <c r="Y50" i="1" s="1"/>
  <c r="P45" i="1"/>
  <c r="P51" i="1" s="1"/>
  <c r="P60" i="1" s="1"/>
  <c r="P71" i="1" s="1"/>
  <c r="Q45" i="1"/>
  <c r="Q51" i="1" s="1"/>
  <c r="Q60" i="1" s="1"/>
  <c r="Q71" i="1" s="1"/>
  <c r="R45" i="1"/>
  <c r="S45" i="1"/>
  <c r="S51" i="1" s="1"/>
  <c r="S60" i="1" s="1"/>
  <c r="S71" i="1" s="1"/>
  <c r="T45" i="1"/>
  <c r="T51" i="1" s="1"/>
  <c r="T60" i="1" s="1"/>
  <c r="T71" i="1" s="1"/>
  <c r="U45" i="1"/>
  <c r="U51" i="1" s="1"/>
  <c r="U60" i="1" s="1"/>
  <c r="U71" i="1" s="1"/>
  <c r="V45" i="1"/>
  <c r="W45" i="1"/>
  <c r="W51" i="1" s="1"/>
  <c r="X45" i="1"/>
  <c r="X51" i="1" s="1"/>
  <c r="X60" i="1" s="1"/>
  <c r="X71" i="1" s="1"/>
  <c r="Y45" i="1"/>
  <c r="Y51" i="1" s="1"/>
  <c r="Y60" i="1" s="1"/>
  <c r="Y71" i="1" s="1"/>
  <c r="T49" i="1"/>
  <c r="T58" i="1" s="1"/>
  <c r="T69" i="1" s="1"/>
  <c r="U49" i="1"/>
  <c r="U58" i="1" s="1"/>
  <c r="U69" i="1" s="1"/>
  <c r="X49" i="1"/>
  <c r="X58" i="1" s="1"/>
  <c r="X69" i="1" s="1"/>
  <c r="Y49" i="1"/>
  <c r="Y58" i="1" s="1"/>
  <c r="Y69" i="1" s="1"/>
  <c r="P50" i="1"/>
  <c r="P59" i="1" s="1"/>
  <c r="P70" i="1" s="1"/>
  <c r="Q50" i="1"/>
  <c r="Q59" i="1" s="1"/>
  <c r="Q70" i="1" s="1"/>
  <c r="R51" i="1"/>
  <c r="R60" i="1" s="1"/>
  <c r="R71" i="1" s="1"/>
  <c r="P54" i="1"/>
  <c r="Q54" i="1"/>
  <c r="R54" i="1"/>
  <c r="S54" i="1"/>
  <c r="T54" i="1"/>
  <c r="U54" i="1"/>
  <c r="V54" i="1" s="1"/>
  <c r="W54" i="1" s="1"/>
  <c r="X54" i="1" s="1"/>
  <c r="Y54" i="1" s="1"/>
  <c r="P64" i="1"/>
  <c r="Q64" i="1"/>
  <c r="R64" i="1"/>
  <c r="S64" i="1"/>
  <c r="T64" i="1" s="1"/>
  <c r="U64" i="1" s="1"/>
  <c r="V64" i="1" s="1"/>
  <c r="W64" i="1" s="1"/>
  <c r="X64" i="1" s="1"/>
  <c r="Y64" i="1" s="1"/>
  <c r="P74" i="1"/>
  <c r="Q74" i="1"/>
  <c r="R74" i="1" s="1"/>
  <c r="S74" i="1" s="1"/>
  <c r="T74" i="1" s="1"/>
  <c r="U74" i="1" s="1"/>
  <c r="V74" i="1" s="1"/>
  <c r="W74" i="1" s="1"/>
  <c r="X74" i="1" s="1"/>
  <c r="Y74" i="1" s="1"/>
  <c r="P83" i="1"/>
  <c r="Q83" i="1" s="1"/>
  <c r="R83" i="1" s="1"/>
  <c r="S83" i="1" s="1"/>
  <c r="T83" i="1" s="1"/>
  <c r="U83" i="1" s="1"/>
  <c r="V83" i="1" s="1"/>
  <c r="W83" i="1" s="1"/>
  <c r="X83" i="1" s="1"/>
  <c r="Y83" i="1" s="1"/>
  <c r="P88" i="1"/>
  <c r="Q88" i="1"/>
  <c r="R88" i="1"/>
  <c r="S88" i="1"/>
  <c r="T88" i="1"/>
  <c r="U88" i="1"/>
  <c r="V88" i="1"/>
  <c r="W88" i="1"/>
  <c r="X88" i="1"/>
  <c r="Y88" i="1"/>
  <c r="P98" i="1"/>
  <c r="Q98" i="1" s="1"/>
  <c r="R98" i="1" s="1"/>
  <c r="S98" i="1" s="1"/>
  <c r="T98" i="1" s="1"/>
  <c r="U98" i="1" s="1"/>
  <c r="V98" i="1" s="1"/>
  <c r="W98" i="1" s="1"/>
  <c r="X98" i="1" s="1"/>
  <c r="Y98" i="1" s="1"/>
  <c r="W34" i="2"/>
  <c r="X34" i="2" s="1"/>
  <c r="Y34" i="2" s="1"/>
  <c r="W39" i="2"/>
  <c r="X39" i="2"/>
  <c r="Y39" i="2"/>
  <c r="W42" i="2"/>
  <c r="W50" i="2" s="1"/>
  <c r="W59" i="2" s="1"/>
  <c r="W70" i="2" s="1"/>
  <c r="X42" i="2"/>
  <c r="X50" i="2" s="1"/>
  <c r="X59" i="2" s="1"/>
  <c r="X70" i="2" s="1"/>
  <c r="Y42" i="2"/>
  <c r="Y50" i="2" s="1"/>
  <c r="Y59" i="2" s="1"/>
  <c r="Y70" i="2" s="1"/>
  <c r="W45" i="2"/>
  <c r="W51" i="2" s="1"/>
  <c r="W60" i="2" s="1"/>
  <c r="W71" i="2" s="1"/>
  <c r="X45" i="2"/>
  <c r="X51" i="2" s="1"/>
  <c r="X60" i="2" s="1"/>
  <c r="X71" i="2" s="1"/>
  <c r="Y45" i="2"/>
  <c r="Y51" i="2" s="1"/>
  <c r="Y60" i="2" s="1"/>
  <c r="Y71" i="2" s="1"/>
  <c r="W54" i="2"/>
  <c r="X54" i="2"/>
  <c r="Y54" i="2"/>
  <c r="W64" i="2"/>
  <c r="X64" i="2"/>
  <c r="Y64" i="2"/>
  <c r="W74" i="2"/>
  <c r="X74" i="2"/>
  <c r="Y74" i="2"/>
  <c r="W83" i="2"/>
  <c r="X83" i="2" s="1"/>
  <c r="Y83" i="2" s="1"/>
  <c r="W88" i="2"/>
  <c r="X88" i="2"/>
  <c r="Y88" i="2"/>
  <c r="W98" i="2"/>
  <c r="X98" i="2"/>
  <c r="Y98" i="2"/>
  <c r="P34" i="2"/>
  <c r="Q34" i="2" s="1"/>
  <c r="R34" i="2" s="1"/>
  <c r="S34" i="2" s="1"/>
  <c r="T34" i="2" s="1"/>
  <c r="U34" i="2" s="1"/>
  <c r="V34" i="2" s="1"/>
  <c r="P39" i="2"/>
  <c r="Q39" i="2"/>
  <c r="R39" i="2"/>
  <c r="S39" i="2"/>
  <c r="T39" i="2"/>
  <c r="U39" i="2"/>
  <c r="V39" i="2"/>
  <c r="P42" i="2"/>
  <c r="P50" i="2" s="1"/>
  <c r="Q42" i="2"/>
  <c r="Q50" i="2" s="1"/>
  <c r="Q59" i="2" s="1"/>
  <c r="Q70" i="2" s="1"/>
  <c r="R42" i="2"/>
  <c r="S42" i="2"/>
  <c r="S50" i="2" s="1"/>
  <c r="S59" i="2" s="1"/>
  <c r="S70" i="2" s="1"/>
  <c r="T42" i="2"/>
  <c r="T50" i="2" s="1"/>
  <c r="T59" i="2" s="1"/>
  <c r="T70" i="2" s="1"/>
  <c r="U42" i="2"/>
  <c r="U50" i="2" s="1"/>
  <c r="U59" i="2" s="1"/>
  <c r="U70" i="2" s="1"/>
  <c r="V42" i="2"/>
  <c r="V50" i="2" s="1"/>
  <c r="V59" i="2" s="1"/>
  <c r="V70" i="2" s="1"/>
  <c r="P45" i="2"/>
  <c r="P51" i="2" s="1"/>
  <c r="P60" i="2" s="1"/>
  <c r="P71" i="2" s="1"/>
  <c r="Q45" i="2"/>
  <c r="Q51" i="2" s="1"/>
  <c r="Q60" i="2" s="1"/>
  <c r="Q71" i="2" s="1"/>
  <c r="R45" i="2"/>
  <c r="R51" i="2" s="1"/>
  <c r="R60" i="2" s="1"/>
  <c r="R71" i="2" s="1"/>
  <c r="S45" i="2"/>
  <c r="S51" i="2" s="1"/>
  <c r="S60" i="2" s="1"/>
  <c r="S71" i="2" s="1"/>
  <c r="T45" i="2"/>
  <c r="T51" i="2" s="1"/>
  <c r="T60" i="2" s="1"/>
  <c r="T71" i="2" s="1"/>
  <c r="U45" i="2"/>
  <c r="U51" i="2" s="1"/>
  <c r="U60" i="2" s="1"/>
  <c r="U71" i="2" s="1"/>
  <c r="V45" i="2"/>
  <c r="V51" i="2" s="1"/>
  <c r="V60" i="2" s="1"/>
  <c r="V71" i="2" s="1"/>
  <c r="P54" i="2"/>
  <c r="Q54" i="2"/>
  <c r="R54" i="2"/>
  <c r="S54" i="2"/>
  <c r="T54" i="2"/>
  <c r="U54" i="2"/>
  <c r="V54" i="2"/>
  <c r="P64" i="2"/>
  <c r="Q64" i="2"/>
  <c r="R64" i="2" s="1"/>
  <c r="S64" i="2" s="1"/>
  <c r="T64" i="2" s="1"/>
  <c r="U64" i="2" s="1"/>
  <c r="V64" i="2" s="1"/>
  <c r="P74" i="2"/>
  <c r="Q74" i="2" s="1"/>
  <c r="R74" i="2" s="1"/>
  <c r="S74" i="2" s="1"/>
  <c r="T74" i="2" s="1"/>
  <c r="U74" i="2" s="1"/>
  <c r="V74" i="2" s="1"/>
  <c r="P83" i="2"/>
  <c r="Q83" i="2" s="1"/>
  <c r="R83" i="2" s="1"/>
  <c r="S83" i="2" s="1"/>
  <c r="T83" i="2" s="1"/>
  <c r="U83" i="2" s="1"/>
  <c r="V83" i="2" s="1"/>
  <c r="P88" i="2"/>
  <c r="Q88" i="2"/>
  <c r="R88" i="2"/>
  <c r="S88" i="2"/>
  <c r="T88" i="2"/>
  <c r="U88" i="2"/>
  <c r="V88" i="2"/>
  <c r="P98" i="2"/>
  <c r="Q98" i="2"/>
  <c r="R98" i="2"/>
  <c r="S98" i="2"/>
  <c r="T98" i="2"/>
  <c r="U98" i="2"/>
  <c r="V98" i="2" s="1"/>
  <c r="B41" i="5"/>
  <c r="E27" i="5"/>
  <c r="E26" i="5"/>
  <c r="E23" i="5"/>
  <c r="C41" i="5"/>
  <c r="D41" i="5"/>
  <c r="F41" i="5"/>
  <c r="G41" i="5"/>
  <c r="H41" i="5"/>
  <c r="I41" i="5"/>
  <c r="J41" i="5"/>
  <c r="B8" i="4"/>
  <c r="B7" i="4"/>
  <c r="K51" i="3"/>
  <c r="C110" i="3"/>
  <c r="D110" i="3"/>
  <c r="E110" i="3"/>
  <c r="F110" i="3"/>
  <c r="G110" i="3"/>
  <c r="H110" i="3"/>
  <c r="I110" i="3"/>
  <c r="J110" i="3"/>
  <c r="B110" i="3"/>
  <c r="C83" i="3"/>
  <c r="D83" i="3"/>
  <c r="F83" i="3"/>
  <c r="G83" i="3"/>
  <c r="H83" i="3"/>
  <c r="I83" i="3"/>
  <c r="J83" i="3"/>
  <c r="B83" i="3"/>
  <c r="C54" i="3"/>
  <c r="D54" i="3"/>
  <c r="E54" i="3"/>
  <c r="F54" i="3"/>
  <c r="G54" i="3"/>
  <c r="H54" i="3"/>
  <c r="I54" i="3"/>
  <c r="J54" i="3"/>
  <c r="B54" i="3"/>
  <c r="C29" i="3"/>
  <c r="D29" i="3"/>
  <c r="E29" i="3"/>
  <c r="F29" i="3"/>
  <c r="G29" i="3"/>
  <c r="H29" i="3"/>
  <c r="I29" i="3"/>
  <c r="J29" i="3"/>
  <c r="B29" i="3"/>
  <c r="K25" i="3"/>
  <c r="K102" i="3"/>
  <c r="B40" i="3"/>
  <c r="B44" i="3"/>
  <c r="B73" i="3" s="1"/>
  <c r="B19" i="3" s="1"/>
  <c r="B30" i="3" s="1"/>
  <c r="G88" i="2"/>
  <c r="X42" i="5" l="1"/>
  <c r="W42" i="5"/>
  <c r="Z42" i="5"/>
  <c r="Y42" i="5"/>
  <c r="Z36" i="5"/>
  <c r="Z40" i="5" s="1"/>
  <c r="Z38" i="5"/>
  <c r="Z44" i="5" s="1"/>
  <c r="Z37" i="5"/>
  <c r="Z43" i="5" s="1"/>
  <c r="E5" i="4"/>
  <c r="E24" i="5"/>
  <c r="C4" i="5" s="1"/>
  <c r="C5" i="5" s="1"/>
  <c r="B4" i="5"/>
  <c r="B5" i="5" s="1"/>
  <c r="X39" i="5"/>
  <c r="AE76" i="1"/>
  <c r="AE91" i="1"/>
  <c r="AB58" i="1"/>
  <c r="AB69" i="1" s="1"/>
  <c r="AB68" i="1" s="1"/>
  <c r="AB48" i="1"/>
  <c r="AB57" i="1" s="1"/>
  <c r="AB78" i="1" s="1"/>
  <c r="AD91" i="1"/>
  <c r="AD76" i="1"/>
  <c r="AI68" i="1"/>
  <c r="AH68" i="1"/>
  <c r="AC91" i="1"/>
  <c r="AC76" i="1"/>
  <c r="AF68" i="1"/>
  <c r="AC48" i="1"/>
  <c r="AC57" i="1" s="1"/>
  <c r="AC78" i="1" s="1"/>
  <c r="AB36" i="1"/>
  <c r="AG58" i="1"/>
  <c r="AG69" i="1" s="1"/>
  <c r="AG68" i="1" s="1"/>
  <c r="AI48" i="2"/>
  <c r="AI57" i="2" s="1"/>
  <c r="AI78" i="2" s="1"/>
  <c r="AI69" i="2"/>
  <c r="AI68" i="2" s="1"/>
  <c r="AE48" i="2"/>
  <c r="AE57" i="2" s="1"/>
  <c r="AE78" i="2" s="1"/>
  <c r="AE69" i="2"/>
  <c r="AE68" i="2" s="1"/>
  <c r="AD69" i="2"/>
  <c r="AD68" i="2" s="1"/>
  <c r="Y35" i="5" s="1"/>
  <c r="AD48" i="2"/>
  <c r="AD57" i="2" s="1"/>
  <c r="AC48" i="2"/>
  <c r="AC57" i="2" s="1"/>
  <c r="AC69" i="2"/>
  <c r="AC68" i="2" s="1"/>
  <c r="X35" i="5" s="1"/>
  <c r="X36" i="5" s="1"/>
  <c r="X40" i="5" s="1"/>
  <c r="AB69" i="2"/>
  <c r="AB68" i="2" s="1"/>
  <c r="W35" i="5" s="1"/>
  <c r="AB48" i="2"/>
  <c r="AB57" i="2" s="1"/>
  <c r="AC36" i="2"/>
  <c r="AI36" i="2"/>
  <c r="AE36" i="2"/>
  <c r="AD51" i="2"/>
  <c r="AD60" i="2" s="1"/>
  <c r="AD71" i="2" s="1"/>
  <c r="R69" i="2"/>
  <c r="Y69" i="2"/>
  <c r="Y68" i="2" s="1"/>
  <c r="T35" i="5" s="1"/>
  <c r="P69" i="2"/>
  <c r="V69" i="2"/>
  <c r="V68" i="2" s="1"/>
  <c r="T69" i="2"/>
  <c r="T68" i="2" s="1"/>
  <c r="X69" i="2"/>
  <c r="X68" i="2" s="1"/>
  <c r="W36" i="2"/>
  <c r="Y36" i="1"/>
  <c r="X36" i="1"/>
  <c r="U36" i="1"/>
  <c r="T36" i="1"/>
  <c r="Q36" i="1"/>
  <c r="P36" i="1"/>
  <c r="Y48" i="1"/>
  <c r="Y57" i="1" s="1"/>
  <c r="Z36" i="1"/>
  <c r="Y78" i="1"/>
  <c r="X50" i="1"/>
  <c r="Y59" i="1"/>
  <c r="Y70" i="1" s="1"/>
  <c r="V36" i="1"/>
  <c r="Y68" i="1"/>
  <c r="I84" i="3"/>
  <c r="I55" i="3"/>
  <c r="J55" i="3"/>
  <c r="E55" i="3"/>
  <c r="E42" i="5"/>
  <c r="T42" i="5"/>
  <c r="R42" i="5"/>
  <c r="H42" i="5"/>
  <c r="G42" i="5"/>
  <c r="P42" i="5"/>
  <c r="O42" i="5"/>
  <c r="S42" i="5"/>
  <c r="N42" i="5"/>
  <c r="M42" i="5"/>
  <c r="D42" i="5"/>
  <c r="C42" i="5"/>
  <c r="V42" i="5"/>
  <c r="J42" i="5"/>
  <c r="I42" i="5"/>
  <c r="Q42" i="5"/>
  <c r="L42" i="5"/>
  <c r="F42" i="5"/>
  <c r="K42" i="5"/>
  <c r="B42" i="5"/>
  <c r="AA48" i="2"/>
  <c r="AA57" i="2" s="1"/>
  <c r="AA78" i="2" s="1"/>
  <c r="AA69" i="2"/>
  <c r="AA68" i="2" s="1"/>
  <c r="Z69" i="2"/>
  <c r="Z68" i="2" s="1"/>
  <c r="Z48" i="2"/>
  <c r="Z57" i="2" s="1"/>
  <c r="Z78" i="2" s="1"/>
  <c r="Z36" i="2"/>
  <c r="AA36" i="2"/>
  <c r="AA48" i="1"/>
  <c r="AA57" i="1" s="1"/>
  <c r="AA58" i="1"/>
  <c r="AA69" i="1" s="1"/>
  <c r="AA68" i="1" s="1"/>
  <c r="AA36" i="1"/>
  <c r="Z50" i="1"/>
  <c r="Y76" i="1"/>
  <c r="Y91" i="1"/>
  <c r="Q48" i="1"/>
  <c r="Q57" i="1" s="1"/>
  <c r="Q58" i="1"/>
  <c r="Q69" i="1" s="1"/>
  <c r="Q68" i="1" s="1"/>
  <c r="W60" i="1"/>
  <c r="W71" i="1" s="1"/>
  <c r="W68" i="1" s="1"/>
  <c r="W48" i="1"/>
  <c r="W57" i="1" s="1"/>
  <c r="P48" i="1"/>
  <c r="P57" i="1" s="1"/>
  <c r="P58" i="1"/>
  <c r="P69" i="1" s="1"/>
  <c r="P68" i="1" s="1"/>
  <c r="W36" i="1"/>
  <c r="U50" i="1"/>
  <c r="S49" i="1"/>
  <c r="V51" i="1"/>
  <c r="T50" i="1"/>
  <c r="R49" i="1"/>
  <c r="U36" i="2"/>
  <c r="S36" i="2"/>
  <c r="X48" i="2"/>
  <c r="X57" i="2" s="1"/>
  <c r="X78" i="2" s="1"/>
  <c r="X36" i="2"/>
  <c r="S48" i="2"/>
  <c r="S57" i="2" s="1"/>
  <c r="S78" i="2" s="1"/>
  <c r="T36" i="2"/>
  <c r="U48" i="2"/>
  <c r="U57" i="2" s="1"/>
  <c r="U78" i="2" s="1"/>
  <c r="R36" i="2"/>
  <c r="Y48" i="2"/>
  <c r="Y57" i="2" s="1"/>
  <c r="Y78" i="2" s="1"/>
  <c r="Y36" i="2"/>
  <c r="P59" i="2"/>
  <c r="P70" i="2" s="1"/>
  <c r="P48" i="2"/>
  <c r="P57" i="2" s="1"/>
  <c r="V48" i="2"/>
  <c r="V57" i="2" s="1"/>
  <c r="V78" i="2" s="1"/>
  <c r="Q48" i="2"/>
  <c r="Q57" i="2" s="1"/>
  <c r="Q78" i="2" s="1"/>
  <c r="Q36" i="2"/>
  <c r="Q69" i="2"/>
  <c r="Q68" i="2" s="1"/>
  <c r="R50" i="2"/>
  <c r="R59" i="2" s="1"/>
  <c r="R70" i="2" s="1"/>
  <c r="T48" i="2"/>
  <c r="T57" i="2" s="1"/>
  <c r="T78" i="2" s="1"/>
  <c r="P36" i="2"/>
  <c r="V36" i="2"/>
  <c r="H84" i="3"/>
  <c r="D55" i="3"/>
  <c r="G84" i="3"/>
  <c r="C55" i="3"/>
  <c r="F84" i="3"/>
  <c r="D84" i="3"/>
  <c r="C84" i="3"/>
  <c r="H55" i="3"/>
  <c r="K84" i="3"/>
  <c r="G55" i="3"/>
  <c r="J84" i="3"/>
  <c r="F55" i="3"/>
  <c r="B100" i="3"/>
  <c r="B84" i="3"/>
  <c r="J30" i="3"/>
  <c r="G30" i="3"/>
  <c r="H30" i="3"/>
  <c r="C30" i="3"/>
  <c r="D30" i="3"/>
  <c r="E30" i="3"/>
  <c r="F30" i="3"/>
  <c r="I30" i="3"/>
  <c r="B55" i="3"/>
  <c r="Z47" i="5" l="1"/>
  <c r="Z45" i="5"/>
  <c r="AB78" i="2"/>
  <c r="W34" i="5"/>
  <c r="W38" i="5" s="1"/>
  <c r="W44" i="5" s="1"/>
  <c r="AC78" i="2"/>
  <c r="X34" i="5"/>
  <c r="X38" i="5" s="1"/>
  <c r="X44" i="5" s="1"/>
  <c r="X47" i="5" s="1"/>
  <c r="X37" i="5"/>
  <c r="X43" i="5" s="1"/>
  <c r="X45" i="5" s="1"/>
  <c r="AD78" i="2"/>
  <c r="Y34" i="5"/>
  <c r="Y38" i="5" s="1"/>
  <c r="Y44" i="5" s="1"/>
  <c r="W36" i="5"/>
  <c r="W40" i="5" s="1"/>
  <c r="W39" i="5"/>
  <c r="Y36" i="5"/>
  <c r="Y40" i="5" s="1"/>
  <c r="Y39" i="5"/>
  <c r="AF91" i="1"/>
  <c r="AF76" i="1"/>
  <c r="AI76" i="1"/>
  <c r="AI91" i="1"/>
  <c r="AH76" i="1"/>
  <c r="AH91" i="1"/>
  <c r="AD79" i="1"/>
  <c r="AD80" i="1" s="1"/>
  <c r="AG76" i="1"/>
  <c r="AG91" i="1"/>
  <c r="AC79" i="1"/>
  <c r="AC80" i="1" s="1"/>
  <c r="AB76" i="1"/>
  <c r="AB91" i="1"/>
  <c r="AE79" i="1"/>
  <c r="AE80" i="1" s="1"/>
  <c r="AC91" i="2"/>
  <c r="AC76" i="2"/>
  <c r="AD76" i="2"/>
  <c r="AD91" i="2"/>
  <c r="AH48" i="2"/>
  <c r="AH57" i="2" s="1"/>
  <c r="AH78" i="2" s="1"/>
  <c r="AH69" i="2"/>
  <c r="AH68" i="2" s="1"/>
  <c r="AF48" i="2"/>
  <c r="AF57" i="2" s="1"/>
  <c r="AF78" i="2" s="1"/>
  <c r="AF69" i="2"/>
  <c r="AF68" i="2" s="1"/>
  <c r="AG48" i="2"/>
  <c r="AG57" i="2" s="1"/>
  <c r="AG78" i="2" s="1"/>
  <c r="AG69" i="2"/>
  <c r="AG68" i="2" s="1"/>
  <c r="AI91" i="2"/>
  <c r="AI76" i="2"/>
  <c r="AB91" i="2"/>
  <c r="AB76" i="2"/>
  <c r="AE91" i="2"/>
  <c r="AE76" i="2"/>
  <c r="P68" i="2"/>
  <c r="K35" i="5" s="1"/>
  <c r="T34" i="5"/>
  <c r="T38" i="5" s="1"/>
  <c r="T44" i="5" s="1"/>
  <c r="T36" i="5"/>
  <c r="T40" i="5" s="1"/>
  <c r="S69" i="2"/>
  <c r="S68" i="2" s="1"/>
  <c r="S76" i="2" s="1"/>
  <c r="Q78" i="1"/>
  <c r="L34" i="5"/>
  <c r="L35" i="5"/>
  <c r="P78" i="1"/>
  <c r="K34" i="5"/>
  <c r="X59" i="1"/>
  <c r="X70" i="1" s="1"/>
  <c r="X68" i="1" s="1"/>
  <c r="X48" i="1"/>
  <c r="X57" i="1" s="1"/>
  <c r="W78" i="1"/>
  <c r="T39" i="5"/>
  <c r="R68" i="2"/>
  <c r="R76" i="2" s="1"/>
  <c r="Z91" i="2"/>
  <c r="Z76" i="2"/>
  <c r="AA76" i="2"/>
  <c r="AA91" i="2"/>
  <c r="V35" i="5"/>
  <c r="AA76" i="1"/>
  <c r="AA91" i="1"/>
  <c r="Z59" i="1"/>
  <c r="Z70" i="1" s="1"/>
  <c r="Z68" i="1" s="1"/>
  <c r="Z48" i="1"/>
  <c r="Z57" i="1" s="1"/>
  <c r="V34" i="5"/>
  <c r="AA78" i="1"/>
  <c r="W91" i="1"/>
  <c r="W76" i="1"/>
  <c r="P91" i="1"/>
  <c r="P76" i="1"/>
  <c r="Q91" i="1"/>
  <c r="Q76" i="1"/>
  <c r="V60" i="1"/>
  <c r="V71" i="1" s="1"/>
  <c r="V68" i="1" s="1"/>
  <c r="Q35" i="5" s="1"/>
  <c r="V48" i="1"/>
  <c r="V57" i="1" s="1"/>
  <c r="U59" i="1"/>
  <c r="U70" i="1" s="1"/>
  <c r="U68" i="1" s="1"/>
  <c r="U48" i="1"/>
  <c r="U57" i="1" s="1"/>
  <c r="R58" i="1"/>
  <c r="R69" i="1" s="1"/>
  <c r="R68" i="1" s="1"/>
  <c r="R48" i="1"/>
  <c r="R57" i="1" s="1"/>
  <c r="T48" i="1"/>
  <c r="T57" i="1" s="1"/>
  <c r="T59" i="1"/>
  <c r="T70" i="1" s="1"/>
  <c r="T68" i="1" s="1"/>
  <c r="O35" i="5" s="1"/>
  <c r="S48" i="1"/>
  <c r="S57" i="1" s="1"/>
  <c r="S58" i="1"/>
  <c r="S69" i="1" s="1"/>
  <c r="S68" i="1" s="1"/>
  <c r="Y79" i="1"/>
  <c r="Y80" i="1"/>
  <c r="U69" i="2"/>
  <c r="U68" i="2" s="1"/>
  <c r="U91" i="2" s="1"/>
  <c r="R48" i="2"/>
  <c r="R57" i="2" s="1"/>
  <c r="R78" i="2" s="1"/>
  <c r="W48" i="2"/>
  <c r="W57" i="2" s="1"/>
  <c r="W78" i="2" s="1"/>
  <c r="W69" i="2"/>
  <c r="W68" i="2" s="1"/>
  <c r="R35" i="5" s="1"/>
  <c r="Y76" i="2"/>
  <c r="Y91" i="2"/>
  <c r="X76" i="2"/>
  <c r="X91" i="2"/>
  <c r="P91" i="2"/>
  <c r="P76" i="2"/>
  <c r="T76" i="2"/>
  <c r="T91" i="2"/>
  <c r="V91" i="2"/>
  <c r="V76" i="2"/>
  <c r="K23" i="3"/>
  <c r="K26" i="3" s="1"/>
  <c r="P78" i="2"/>
  <c r="Q76" i="2"/>
  <c r="Q91" i="2"/>
  <c r="C111" i="3"/>
  <c r="D111" i="3"/>
  <c r="F111" i="3"/>
  <c r="G111" i="3"/>
  <c r="H111" i="3"/>
  <c r="I111" i="3"/>
  <c r="J111" i="3"/>
  <c r="B111" i="3"/>
  <c r="E111" i="3"/>
  <c r="K54" i="3"/>
  <c r="K82" i="3"/>
  <c r="K30" i="3"/>
  <c r="W37" i="5" l="1"/>
  <c r="W43" i="5" s="1"/>
  <c r="Y37" i="5"/>
  <c r="Y43" i="5" s="1"/>
  <c r="Y45" i="5" s="1"/>
  <c r="W47" i="5"/>
  <c r="N35" i="5"/>
  <c r="W45" i="5"/>
  <c r="Y47" i="5"/>
  <c r="AC99" i="1"/>
  <c r="AC94" i="1"/>
  <c r="AC85" i="1"/>
  <c r="AC95" i="1" s="1"/>
  <c r="AC100" i="1" s="1"/>
  <c r="AD99" i="1"/>
  <c r="AD94" i="1"/>
  <c r="AD85" i="1"/>
  <c r="AD95" i="1" s="1"/>
  <c r="AD100" i="1" s="1"/>
  <c r="AE85" i="1"/>
  <c r="AE94" i="1"/>
  <c r="AE99" i="1"/>
  <c r="AH79" i="1"/>
  <c r="AH80" i="1"/>
  <c r="AI79" i="1"/>
  <c r="AI80" i="1" s="1"/>
  <c r="AF79" i="1"/>
  <c r="AF80" i="1" s="1"/>
  <c r="AB79" i="1"/>
  <c r="AB80" i="1" s="1"/>
  <c r="AG79" i="1"/>
  <c r="AG80" i="1" s="1"/>
  <c r="AI79" i="2"/>
  <c r="AI80" i="2" s="1"/>
  <c r="AH91" i="2"/>
  <c r="AH76" i="2"/>
  <c r="AB79" i="2"/>
  <c r="AB80" i="2" s="1"/>
  <c r="AC79" i="2"/>
  <c r="AC80" i="2" s="1"/>
  <c r="AG76" i="2"/>
  <c r="AG91" i="2"/>
  <c r="AF91" i="2"/>
  <c r="AF76" i="2"/>
  <c r="AE79" i="2"/>
  <c r="AE80" i="2" s="1"/>
  <c r="AD79" i="2"/>
  <c r="AD80" i="2"/>
  <c r="T47" i="5"/>
  <c r="T37" i="5"/>
  <c r="T43" i="5" s="1"/>
  <c r="T45" i="5" s="1"/>
  <c r="S91" i="2"/>
  <c r="V37" i="5"/>
  <c r="V43" i="5" s="1"/>
  <c r="V38" i="5"/>
  <c r="V44" i="5" s="1"/>
  <c r="K36" i="5"/>
  <c r="K40" i="5" s="1"/>
  <c r="K38" i="5"/>
  <c r="K44" i="5" s="1"/>
  <c r="K37" i="5"/>
  <c r="K43" i="5" s="1"/>
  <c r="L36" i="5"/>
  <c r="L40" i="5" s="1"/>
  <c r="L38" i="5"/>
  <c r="L44" i="5" s="1"/>
  <c r="L37" i="5"/>
  <c r="L43" i="5" s="1"/>
  <c r="R91" i="2"/>
  <c r="U76" i="2"/>
  <c r="U79" i="2" s="1"/>
  <c r="R34" i="5"/>
  <c r="O39" i="5"/>
  <c r="O36" i="5"/>
  <c r="O40" i="5" s="1"/>
  <c r="L39" i="5"/>
  <c r="P35" i="5"/>
  <c r="K39" i="5"/>
  <c r="N39" i="5"/>
  <c r="N36" i="5"/>
  <c r="N40" i="5" s="1"/>
  <c r="Q36" i="5"/>
  <c r="Q40" i="5" s="1"/>
  <c r="Q39" i="5"/>
  <c r="V78" i="1"/>
  <c r="Q34" i="5"/>
  <c r="Q37" i="5" s="1"/>
  <c r="X78" i="1"/>
  <c r="S34" i="5"/>
  <c r="X91" i="1"/>
  <c r="X76" i="1"/>
  <c r="S78" i="1"/>
  <c r="N34" i="5"/>
  <c r="N37" i="5" s="1"/>
  <c r="S35" i="5"/>
  <c r="T78" i="1"/>
  <c r="O34" i="5"/>
  <c r="O38" i="5" s="1"/>
  <c r="R78" i="1"/>
  <c r="M34" i="5"/>
  <c r="U78" i="1"/>
  <c r="P34" i="5"/>
  <c r="M35" i="5"/>
  <c r="K108" i="3"/>
  <c r="R36" i="5"/>
  <c r="R40" i="5" s="1"/>
  <c r="R39" i="5"/>
  <c r="AA79" i="2"/>
  <c r="AA80" i="2" s="1"/>
  <c r="Z79" i="2"/>
  <c r="Z80" i="2" s="1"/>
  <c r="Z78" i="1"/>
  <c r="U34" i="5"/>
  <c r="AA79" i="1"/>
  <c r="AA80" i="1" s="1"/>
  <c r="U35" i="5"/>
  <c r="Z76" i="1"/>
  <c r="Z91" i="1"/>
  <c r="V36" i="5"/>
  <c r="V40" i="5" s="1"/>
  <c r="V39" i="5"/>
  <c r="V91" i="1"/>
  <c r="V76" i="1"/>
  <c r="Q79" i="1"/>
  <c r="Q80" i="1" s="1"/>
  <c r="U76" i="1"/>
  <c r="U91" i="1"/>
  <c r="Y99" i="1"/>
  <c r="Y94" i="1"/>
  <c r="Y85" i="1"/>
  <c r="Y95" i="1" s="1"/>
  <c r="Y100" i="1" s="1"/>
  <c r="S91" i="1"/>
  <c r="S76" i="1"/>
  <c r="T76" i="1"/>
  <c r="T91" i="1"/>
  <c r="P79" i="1"/>
  <c r="P80" i="1"/>
  <c r="W79" i="1"/>
  <c r="W80" i="1" s="1"/>
  <c r="R91" i="1"/>
  <c r="R76" i="1"/>
  <c r="X79" i="2"/>
  <c r="X80" i="2" s="1"/>
  <c r="Y79" i="2"/>
  <c r="Y80" i="2" s="1"/>
  <c r="W76" i="2"/>
  <c r="W91" i="2"/>
  <c r="S79" i="2"/>
  <c r="S80" i="2" s="1"/>
  <c r="R79" i="2"/>
  <c r="R80" i="2" s="1"/>
  <c r="Q79" i="2"/>
  <c r="Q80" i="2" s="1"/>
  <c r="T79" i="2"/>
  <c r="T80" i="2" s="1"/>
  <c r="P79" i="2"/>
  <c r="P80" i="2" s="1"/>
  <c r="V79" i="2"/>
  <c r="V80" i="2" s="1"/>
  <c r="G98" i="2"/>
  <c r="H98" i="2" s="1"/>
  <c r="I98" i="2" s="1"/>
  <c r="J98" i="2" s="1"/>
  <c r="K98" i="2" s="1"/>
  <c r="L98" i="2" s="1"/>
  <c r="M98" i="2" s="1"/>
  <c r="N98" i="2" s="1"/>
  <c r="O98" i="2" s="1"/>
  <c r="O88" i="2"/>
  <c r="N88" i="2"/>
  <c r="M88" i="2"/>
  <c r="L88" i="2"/>
  <c r="K88" i="2"/>
  <c r="J88" i="2"/>
  <c r="I88" i="2"/>
  <c r="H88" i="2"/>
  <c r="F88" i="2"/>
  <c r="I83" i="2"/>
  <c r="J83" i="2" s="1"/>
  <c r="K83" i="2" s="1"/>
  <c r="L83" i="2" s="1"/>
  <c r="M83" i="2" s="1"/>
  <c r="N83" i="2" s="1"/>
  <c r="O83" i="2" s="1"/>
  <c r="H83" i="2"/>
  <c r="G83" i="2"/>
  <c r="G74" i="2"/>
  <c r="H74" i="2" s="1"/>
  <c r="I74" i="2" s="1"/>
  <c r="J74" i="2" s="1"/>
  <c r="K74" i="2" s="1"/>
  <c r="L74" i="2" s="1"/>
  <c r="M74" i="2" s="1"/>
  <c r="N74" i="2" s="1"/>
  <c r="O74" i="2" s="1"/>
  <c r="E68" i="2"/>
  <c r="G64" i="2"/>
  <c r="H64" i="2" s="1"/>
  <c r="I64" i="2" s="1"/>
  <c r="J64" i="2" s="1"/>
  <c r="K64" i="2" s="1"/>
  <c r="L64" i="2" s="1"/>
  <c r="M64" i="2" s="1"/>
  <c r="N64" i="2" s="1"/>
  <c r="O64" i="2" s="1"/>
  <c r="E60" i="2"/>
  <c r="E59" i="2"/>
  <c r="E58" i="2"/>
  <c r="E57" i="2"/>
  <c r="G54" i="2"/>
  <c r="H54" i="2" s="1"/>
  <c r="I54" i="2" s="1"/>
  <c r="J54" i="2" s="1"/>
  <c r="K54" i="2" s="1"/>
  <c r="L54" i="2" s="1"/>
  <c r="M54" i="2" s="1"/>
  <c r="N54" i="2" s="1"/>
  <c r="O54" i="2" s="1"/>
  <c r="O45" i="2"/>
  <c r="O51" i="2" s="1"/>
  <c r="O60" i="2" s="1"/>
  <c r="O71" i="2" s="1"/>
  <c r="N45" i="2"/>
  <c r="N51" i="2" s="1"/>
  <c r="N60" i="2" s="1"/>
  <c r="N71" i="2" s="1"/>
  <c r="M45" i="2"/>
  <c r="M51" i="2" s="1"/>
  <c r="M60" i="2" s="1"/>
  <c r="M71" i="2" s="1"/>
  <c r="L45" i="2"/>
  <c r="L51" i="2" s="1"/>
  <c r="L60" i="2" s="1"/>
  <c r="L71" i="2" s="1"/>
  <c r="K45" i="2"/>
  <c r="K51" i="2" s="1"/>
  <c r="K60" i="2" s="1"/>
  <c r="K71" i="2" s="1"/>
  <c r="J45" i="2"/>
  <c r="J51" i="2" s="1"/>
  <c r="J60" i="2" s="1"/>
  <c r="J71" i="2" s="1"/>
  <c r="I45" i="2"/>
  <c r="I51" i="2" s="1"/>
  <c r="I60" i="2" s="1"/>
  <c r="I71" i="2" s="1"/>
  <c r="H45" i="2"/>
  <c r="H51" i="2" s="1"/>
  <c r="H60" i="2" s="1"/>
  <c r="H71" i="2" s="1"/>
  <c r="G45" i="2"/>
  <c r="G51" i="2" s="1"/>
  <c r="G60" i="2" s="1"/>
  <c r="G71" i="2" s="1"/>
  <c r="F45" i="2"/>
  <c r="F51" i="2" s="1"/>
  <c r="F60" i="2" s="1"/>
  <c r="F71" i="2" s="1"/>
  <c r="O42" i="2"/>
  <c r="O50" i="2" s="1"/>
  <c r="O59" i="2" s="1"/>
  <c r="O70" i="2" s="1"/>
  <c r="N42" i="2"/>
  <c r="N50" i="2" s="1"/>
  <c r="N59" i="2" s="1"/>
  <c r="N70" i="2" s="1"/>
  <c r="M42" i="2"/>
  <c r="L42" i="2"/>
  <c r="K42" i="2"/>
  <c r="K50" i="2" s="1"/>
  <c r="K59" i="2" s="1"/>
  <c r="K70" i="2" s="1"/>
  <c r="J42" i="2"/>
  <c r="J50" i="2" s="1"/>
  <c r="J59" i="2" s="1"/>
  <c r="J70" i="2" s="1"/>
  <c r="I42" i="2"/>
  <c r="I50" i="2" s="1"/>
  <c r="H42" i="2"/>
  <c r="H50" i="2" s="1"/>
  <c r="H59" i="2" s="1"/>
  <c r="H70" i="2" s="1"/>
  <c r="G42" i="2"/>
  <c r="G50" i="2" s="1"/>
  <c r="G59" i="2" s="1"/>
  <c r="G70" i="2" s="1"/>
  <c r="F42" i="2"/>
  <c r="F50" i="2" s="1"/>
  <c r="F59" i="2" s="1"/>
  <c r="F70" i="2" s="1"/>
  <c r="O39" i="2"/>
  <c r="N39" i="2"/>
  <c r="M39" i="2"/>
  <c r="L39" i="2"/>
  <c r="K39" i="2"/>
  <c r="J39" i="2"/>
  <c r="I39" i="2"/>
  <c r="H39" i="2"/>
  <c r="G39" i="2"/>
  <c r="F39" i="2"/>
  <c r="F49" i="2" s="1"/>
  <c r="H34" i="2"/>
  <c r="I34" i="2" s="1"/>
  <c r="J34" i="2" s="1"/>
  <c r="K34" i="2" s="1"/>
  <c r="L34" i="2" s="1"/>
  <c r="M34" i="2" s="1"/>
  <c r="N34" i="2" s="1"/>
  <c r="O34" i="2" s="1"/>
  <c r="G34" i="2"/>
  <c r="E31" i="2"/>
  <c r="G98" i="1"/>
  <c r="H98" i="1" s="1"/>
  <c r="I98" i="1" s="1"/>
  <c r="J98" i="1" s="1"/>
  <c r="K98" i="1" s="1"/>
  <c r="L98" i="1" s="1"/>
  <c r="M98" i="1" s="1"/>
  <c r="N98" i="1" s="1"/>
  <c r="O98" i="1" s="1"/>
  <c r="G74" i="1"/>
  <c r="H74" i="1" s="1"/>
  <c r="I74" i="1" s="1"/>
  <c r="J74" i="1" s="1"/>
  <c r="K74" i="1" s="1"/>
  <c r="L74" i="1" s="1"/>
  <c r="M74" i="1" s="1"/>
  <c r="N74" i="1" s="1"/>
  <c r="O74" i="1" s="1"/>
  <c r="AI94" i="1" l="1"/>
  <c r="AI85" i="1"/>
  <c r="AI95" i="1" s="1"/>
  <c r="AI100" i="1" s="1"/>
  <c r="AI99" i="1"/>
  <c r="AI101" i="1" s="1"/>
  <c r="AG85" i="1"/>
  <c r="AG94" i="1"/>
  <c r="AG99" i="1"/>
  <c r="AB94" i="1"/>
  <c r="AB99" i="1"/>
  <c r="AB85" i="1"/>
  <c r="AB95" i="1" s="1"/>
  <c r="AB100" i="1" s="1"/>
  <c r="AF99" i="1"/>
  <c r="AF85" i="1"/>
  <c r="AF94" i="1"/>
  <c r="AH94" i="1"/>
  <c r="AH85" i="1"/>
  <c r="AH95" i="1" s="1"/>
  <c r="AH100" i="1" s="1"/>
  <c r="AH99" i="1"/>
  <c r="AH101" i="1" s="1"/>
  <c r="AE95" i="1"/>
  <c r="AE100" i="1" s="1"/>
  <c r="AE101" i="1" s="1"/>
  <c r="AD101" i="1"/>
  <c r="AC101" i="1"/>
  <c r="AC94" i="2"/>
  <c r="AC85" i="2"/>
  <c r="AC99" i="2"/>
  <c r="AE99" i="2"/>
  <c r="AE85" i="2"/>
  <c r="AE94" i="2"/>
  <c r="AB85" i="2"/>
  <c r="AB99" i="2"/>
  <c r="AB94" i="2"/>
  <c r="AI85" i="2"/>
  <c r="AI94" i="2"/>
  <c r="AI99" i="2"/>
  <c r="AF79" i="2"/>
  <c r="AF80" i="2" s="1"/>
  <c r="AH79" i="2"/>
  <c r="AH80" i="2"/>
  <c r="AG79" i="2"/>
  <c r="AG80" i="2" s="1"/>
  <c r="AD94" i="2"/>
  <c r="AD99" i="2"/>
  <c r="AD85" i="2"/>
  <c r="I59" i="2"/>
  <c r="I70" i="2" s="1"/>
  <c r="L69" i="2"/>
  <c r="H69" i="2"/>
  <c r="H68" i="2" s="1"/>
  <c r="I69" i="2"/>
  <c r="J69" i="2"/>
  <c r="J68" i="2" s="1"/>
  <c r="G48" i="2"/>
  <c r="G57" i="2" s="1"/>
  <c r="B34" i="5" s="1"/>
  <c r="N69" i="2"/>
  <c r="N68" i="2" s="1"/>
  <c r="K47" i="5"/>
  <c r="K69" i="2"/>
  <c r="K68" i="2" s="1"/>
  <c r="U80" i="2"/>
  <c r="U94" i="2" s="1"/>
  <c r="N38" i="5"/>
  <c r="N44" i="5" s="1"/>
  <c r="N47" i="5" s="1"/>
  <c r="U37" i="5"/>
  <c r="U43" i="5" s="1"/>
  <c r="U38" i="5"/>
  <c r="U44" i="5" s="1"/>
  <c r="L47" i="5"/>
  <c r="Q43" i="5"/>
  <c r="Q45" i="5" s="1"/>
  <c r="Q38" i="5"/>
  <c r="Q44" i="5" s="1"/>
  <c r="Q47" i="5" s="1"/>
  <c r="O37" i="5"/>
  <c r="O43" i="5" s="1"/>
  <c r="O45" i="5" s="1"/>
  <c r="M36" i="5"/>
  <c r="M40" i="5" s="1"/>
  <c r="M37" i="5"/>
  <c r="M43" i="5" s="1"/>
  <c r="M45" i="5" s="1"/>
  <c r="M38" i="5"/>
  <c r="M44" i="5" s="1"/>
  <c r="R38" i="5"/>
  <c r="R44" i="5" s="1"/>
  <c r="R47" i="5" s="1"/>
  <c r="S37" i="5"/>
  <c r="S43" i="5" s="1"/>
  <c r="S38" i="5"/>
  <c r="S44" i="5" s="1"/>
  <c r="R37" i="5"/>
  <c r="R43" i="5" s="1"/>
  <c r="R45" i="5" s="1"/>
  <c r="N43" i="5"/>
  <c r="N45" i="5" s="1"/>
  <c r="P36" i="5"/>
  <c r="P40" i="5" s="1"/>
  <c r="P37" i="5"/>
  <c r="P43" i="5" s="1"/>
  <c r="P38" i="5"/>
  <c r="P44" i="5" s="1"/>
  <c r="L36" i="2"/>
  <c r="M36" i="2"/>
  <c r="L50" i="2"/>
  <c r="L59" i="2" s="1"/>
  <c r="L70" i="2" s="1"/>
  <c r="M50" i="2"/>
  <c r="M59" i="2" s="1"/>
  <c r="M70" i="2" s="1"/>
  <c r="O36" i="2"/>
  <c r="P39" i="5"/>
  <c r="M39" i="5"/>
  <c r="O44" i="5"/>
  <c r="O47" i="5" s="1"/>
  <c r="S39" i="5"/>
  <c r="S36" i="5"/>
  <c r="S40" i="5" s="1"/>
  <c r="X79" i="1"/>
  <c r="X80" i="1"/>
  <c r="V47" i="5"/>
  <c r="Z94" i="2"/>
  <c r="Z85" i="2"/>
  <c r="Z99" i="2"/>
  <c r="AA85" i="2"/>
  <c r="AA99" i="2"/>
  <c r="AA94" i="2"/>
  <c r="U36" i="5"/>
  <c r="U40" i="5" s="1"/>
  <c r="U39" i="5"/>
  <c r="V45" i="5"/>
  <c r="Z79" i="1"/>
  <c r="Z80" i="1" s="1"/>
  <c r="AA85" i="1"/>
  <c r="AA99" i="1"/>
  <c r="AA94" i="1"/>
  <c r="W85" i="1"/>
  <c r="W99" i="1"/>
  <c r="W94" i="1"/>
  <c r="Q94" i="1"/>
  <c r="Q99" i="1"/>
  <c r="Q85" i="1"/>
  <c r="Q95" i="1" s="1"/>
  <c r="Q100" i="1" s="1"/>
  <c r="S79" i="1"/>
  <c r="S80" i="1" s="1"/>
  <c r="R79" i="1"/>
  <c r="R80" i="1" s="1"/>
  <c r="Y101" i="1"/>
  <c r="P85" i="1"/>
  <c r="P94" i="1"/>
  <c r="P99" i="1"/>
  <c r="U79" i="1"/>
  <c r="U80" i="1" s="1"/>
  <c r="T79" i="1"/>
  <c r="T80" i="1" s="1"/>
  <c r="V79" i="1"/>
  <c r="V80" i="1" s="1"/>
  <c r="Y85" i="2"/>
  <c r="Y94" i="2"/>
  <c r="Y99" i="2"/>
  <c r="X94" i="2"/>
  <c r="X99" i="2"/>
  <c r="X85" i="2"/>
  <c r="W79" i="2"/>
  <c r="W80" i="2" s="1"/>
  <c r="V99" i="2"/>
  <c r="V85" i="2"/>
  <c r="V94" i="2"/>
  <c r="P85" i="2"/>
  <c r="P99" i="2"/>
  <c r="P94" i="2"/>
  <c r="T94" i="2"/>
  <c r="T99" i="2"/>
  <c r="T85" i="2"/>
  <c r="S99" i="2"/>
  <c r="S85" i="2"/>
  <c r="S94" i="2"/>
  <c r="Q85" i="2"/>
  <c r="Q99" i="2"/>
  <c r="Q94" i="2"/>
  <c r="R99" i="2"/>
  <c r="R94" i="2"/>
  <c r="R85" i="2"/>
  <c r="H48" i="2"/>
  <c r="H57" i="2" s="1"/>
  <c r="H78" i="2" s="1"/>
  <c r="F58" i="2"/>
  <c r="F69" i="2" s="1"/>
  <c r="F68" i="2" s="1"/>
  <c r="F48" i="2"/>
  <c r="F57" i="2" s="1"/>
  <c r="F78" i="2" s="1"/>
  <c r="N36" i="2"/>
  <c r="G36" i="2"/>
  <c r="F36" i="2"/>
  <c r="H36" i="2"/>
  <c r="K48" i="2"/>
  <c r="K57" i="2" s="1"/>
  <c r="K78" i="2" s="1"/>
  <c r="I36" i="2"/>
  <c r="J36" i="2"/>
  <c r="K36" i="2"/>
  <c r="E57" i="1"/>
  <c r="F88" i="1"/>
  <c r="F39" i="1"/>
  <c r="F49" i="1" s="1"/>
  <c r="F42" i="1"/>
  <c r="F50" i="1" s="1"/>
  <c r="F59" i="1" s="1"/>
  <c r="F70" i="1" s="1"/>
  <c r="F45" i="1"/>
  <c r="F51" i="1" s="1"/>
  <c r="F60" i="1" s="1"/>
  <c r="F71" i="1" s="1"/>
  <c r="G64" i="1"/>
  <c r="H64" i="1" s="1"/>
  <c r="I64" i="1" s="1"/>
  <c r="J64" i="1" s="1"/>
  <c r="K64" i="1" s="1"/>
  <c r="L64" i="1" s="1"/>
  <c r="M64" i="1" s="1"/>
  <c r="N64" i="1" s="1"/>
  <c r="O64" i="1" s="1"/>
  <c r="G45" i="1"/>
  <c r="G51" i="1" s="1"/>
  <c r="H45" i="1"/>
  <c r="H51" i="1" s="1"/>
  <c r="I45" i="1"/>
  <c r="I51" i="1" s="1"/>
  <c r="J45" i="1"/>
  <c r="J51" i="1" s="1"/>
  <c r="K45" i="1"/>
  <c r="K51" i="1" s="1"/>
  <c r="L45" i="1"/>
  <c r="L51" i="1" s="1"/>
  <c r="M45" i="1"/>
  <c r="M51" i="1" s="1"/>
  <c r="N45" i="1"/>
  <c r="N51" i="1" s="1"/>
  <c r="O45" i="1"/>
  <c r="O51" i="1" s="1"/>
  <c r="G42" i="1"/>
  <c r="G50" i="1" s="1"/>
  <c r="H42" i="1"/>
  <c r="I42" i="1"/>
  <c r="J42" i="1"/>
  <c r="J50" i="1" s="1"/>
  <c r="K42" i="1"/>
  <c r="K50" i="1" s="1"/>
  <c r="L42" i="1"/>
  <c r="M42" i="1"/>
  <c r="M50" i="1" s="1"/>
  <c r="N42" i="1"/>
  <c r="N50" i="1" s="1"/>
  <c r="O42" i="1"/>
  <c r="O50" i="1" s="1"/>
  <c r="G39" i="1"/>
  <c r="G49" i="1" s="1"/>
  <c r="H39" i="1"/>
  <c r="H49" i="1" s="1"/>
  <c r="I39" i="1"/>
  <c r="I49" i="1" s="1"/>
  <c r="J39" i="1"/>
  <c r="J49" i="1" s="1"/>
  <c r="K39" i="1"/>
  <c r="K49" i="1" s="1"/>
  <c r="L39" i="1"/>
  <c r="L49" i="1" s="1"/>
  <c r="M39" i="1"/>
  <c r="M49" i="1" s="1"/>
  <c r="N39" i="1"/>
  <c r="N49" i="1" s="1"/>
  <c r="N58" i="1" s="1"/>
  <c r="O39" i="1"/>
  <c r="O49" i="1" s="1"/>
  <c r="O58" i="1" s="1"/>
  <c r="O69" i="1" s="1"/>
  <c r="G88" i="1"/>
  <c r="H88" i="1"/>
  <c r="I88" i="1"/>
  <c r="J88" i="1"/>
  <c r="K88" i="1"/>
  <c r="L88" i="1"/>
  <c r="M88" i="1"/>
  <c r="N88" i="1"/>
  <c r="O88" i="1"/>
  <c r="AD95" i="2" l="1"/>
  <c r="AD100" i="2" s="1"/>
  <c r="AC95" i="2"/>
  <c r="AC100" i="2" s="1"/>
  <c r="AC101" i="2"/>
  <c r="AF95" i="1"/>
  <c r="AF100" i="1" s="1"/>
  <c r="AF101" i="1" s="1"/>
  <c r="AB101" i="1"/>
  <c r="AG95" i="1"/>
  <c r="AG100" i="1" s="1"/>
  <c r="AG101" i="1" s="1"/>
  <c r="AD101" i="2"/>
  <c r="AG85" i="2"/>
  <c r="AG94" i="2"/>
  <c r="AG99" i="2"/>
  <c r="AB95" i="2"/>
  <c r="AB100" i="2" s="1"/>
  <c r="AB101" i="2" s="1"/>
  <c r="AE95" i="2"/>
  <c r="AE100" i="2" s="1"/>
  <c r="AE101" i="2" s="1"/>
  <c r="AH85" i="2"/>
  <c r="AH94" i="2"/>
  <c r="AH99" i="2"/>
  <c r="AF85" i="2"/>
  <c r="AF94" i="2"/>
  <c r="AF99" i="2"/>
  <c r="AI95" i="2"/>
  <c r="AI100" i="2" s="1"/>
  <c r="AI101" i="2" s="1"/>
  <c r="J48" i="2"/>
  <c r="J57" i="2" s="1"/>
  <c r="J78" i="2" s="1"/>
  <c r="N48" i="2"/>
  <c r="N57" i="2" s="1"/>
  <c r="N78" i="2" s="1"/>
  <c r="Z95" i="2"/>
  <c r="Z100" i="2" s="1"/>
  <c r="L48" i="2"/>
  <c r="L57" i="2" s="1"/>
  <c r="L78" i="2" s="1"/>
  <c r="L68" i="2"/>
  <c r="L91" i="2" s="1"/>
  <c r="M48" i="2"/>
  <c r="M57" i="2" s="1"/>
  <c r="M78" i="2" s="1"/>
  <c r="I68" i="2"/>
  <c r="I76" i="2" s="1"/>
  <c r="G69" i="2"/>
  <c r="G68" i="2" s="1"/>
  <c r="G76" i="2" s="1"/>
  <c r="M69" i="2"/>
  <c r="M68" i="2" s="1"/>
  <c r="M91" i="2" s="1"/>
  <c r="I48" i="2"/>
  <c r="I57" i="2" s="1"/>
  <c r="I78" i="2" s="1"/>
  <c r="P47" i="5"/>
  <c r="U85" i="2"/>
  <c r="U95" i="2" s="1"/>
  <c r="U100" i="2" s="1"/>
  <c r="P45" i="5"/>
  <c r="U99" i="2"/>
  <c r="M47" i="5"/>
  <c r="Z101" i="2"/>
  <c r="G78" i="2"/>
  <c r="B77" i="3"/>
  <c r="R95" i="2"/>
  <c r="R100" i="2" s="1"/>
  <c r="T95" i="2"/>
  <c r="T100" i="2" s="1"/>
  <c r="T101" i="2" s="1"/>
  <c r="X95" i="2"/>
  <c r="X100" i="2" s="1"/>
  <c r="X101" i="2" s="1"/>
  <c r="AA95" i="1"/>
  <c r="AA100" i="1" s="1"/>
  <c r="AA101" i="1" s="1"/>
  <c r="P95" i="1"/>
  <c r="P100" i="1" s="1"/>
  <c r="P101" i="1" s="1"/>
  <c r="S45" i="5"/>
  <c r="S47" i="5"/>
  <c r="X94" i="1"/>
  <c r="X85" i="1"/>
  <c r="X95" i="1" s="1"/>
  <c r="X100" i="1" s="1"/>
  <c r="X99" i="1"/>
  <c r="U47" i="5"/>
  <c r="AA95" i="2"/>
  <c r="AA100" i="2" s="1"/>
  <c r="AA101" i="2" s="1"/>
  <c r="Z85" i="1"/>
  <c r="Z94" i="1"/>
  <c r="Z99" i="1"/>
  <c r="U45" i="5"/>
  <c r="R85" i="1"/>
  <c r="R99" i="1"/>
  <c r="R94" i="1"/>
  <c r="S85" i="1"/>
  <c r="S99" i="1"/>
  <c r="S94" i="1"/>
  <c r="V99" i="1"/>
  <c r="V94" i="1"/>
  <c r="V85" i="1"/>
  <c r="T94" i="1"/>
  <c r="T85" i="1"/>
  <c r="T99" i="1"/>
  <c r="U85" i="1"/>
  <c r="U99" i="1"/>
  <c r="U94" i="1"/>
  <c r="Q101" i="1"/>
  <c r="W95" i="1"/>
  <c r="W100" i="1" s="1"/>
  <c r="W101" i="1" s="1"/>
  <c r="W94" i="2"/>
  <c r="W85" i="2"/>
  <c r="W99" i="2"/>
  <c r="Y95" i="2"/>
  <c r="Y100" i="2" s="1"/>
  <c r="Y101" i="2" s="1"/>
  <c r="R101" i="2"/>
  <c r="Q95" i="2"/>
  <c r="Q100" i="2" s="1"/>
  <c r="Q101" i="2" s="1"/>
  <c r="S95" i="2"/>
  <c r="S100" i="2" s="1"/>
  <c r="S101" i="2" s="1"/>
  <c r="P95" i="2"/>
  <c r="P100" i="2" s="1"/>
  <c r="P101" i="2" s="1"/>
  <c r="V95" i="2"/>
  <c r="V100" i="2" s="1"/>
  <c r="V101" i="2" s="1"/>
  <c r="F91" i="2"/>
  <c r="F76" i="2"/>
  <c r="J76" i="2"/>
  <c r="J91" i="2"/>
  <c r="O69" i="2"/>
  <c r="O68" i="2" s="1"/>
  <c r="O48" i="2"/>
  <c r="O57" i="2" s="1"/>
  <c r="O78" i="2" s="1"/>
  <c r="N91" i="2"/>
  <c r="N76" i="2"/>
  <c r="H91" i="2"/>
  <c r="H76" i="2"/>
  <c r="K76" i="2"/>
  <c r="K91" i="2"/>
  <c r="F48" i="1"/>
  <c r="F57" i="1" s="1"/>
  <c r="F58" i="1"/>
  <c r="F69" i="1" s="1"/>
  <c r="F36" i="1"/>
  <c r="L36" i="1"/>
  <c r="I36" i="1"/>
  <c r="H36" i="1"/>
  <c r="I50" i="1"/>
  <c r="I59" i="1" s="1"/>
  <c r="I70" i="1" s="1"/>
  <c r="G36" i="1"/>
  <c r="H50" i="1"/>
  <c r="H59" i="1" s="1"/>
  <c r="H70" i="1" s="1"/>
  <c r="O36" i="1"/>
  <c r="N36" i="1"/>
  <c r="M36" i="1"/>
  <c r="L50" i="1"/>
  <c r="L59" i="1" s="1"/>
  <c r="L70" i="1" s="1"/>
  <c r="J36" i="1"/>
  <c r="K36" i="1"/>
  <c r="O59" i="1"/>
  <c r="O70" i="1" s="1"/>
  <c r="M59" i="1"/>
  <c r="M70" i="1" s="1"/>
  <c r="K59" i="1"/>
  <c r="K70" i="1" s="1"/>
  <c r="J59" i="1"/>
  <c r="J70" i="1" s="1"/>
  <c r="M58" i="1"/>
  <c r="M69" i="1" s="1"/>
  <c r="E60" i="1"/>
  <c r="E59" i="1"/>
  <c r="E58" i="1"/>
  <c r="G83" i="1"/>
  <c r="H83" i="1" s="1"/>
  <c r="I83" i="1" s="1"/>
  <c r="J83" i="1" s="1"/>
  <c r="K83" i="1" s="1"/>
  <c r="L83" i="1" s="1"/>
  <c r="M83" i="1" s="1"/>
  <c r="N83" i="1" s="1"/>
  <c r="O83" i="1" s="1"/>
  <c r="G58" i="1"/>
  <c r="G69" i="1" s="1"/>
  <c r="I58" i="1"/>
  <c r="I69" i="1" s="1"/>
  <c r="J58" i="1"/>
  <c r="J69" i="1" s="1"/>
  <c r="K58" i="1"/>
  <c r="K69" i="1" s="1"/>
  <c r="G59" i="1"/>
  <c r="G70" i="1" s="1"/>
  <c r="G34" i="1"/>
  <c r="H34" i="1" s="1"/>
  <c r="I34" i="1" s="1"/>
  <c r="J34" i="1" s="1"/>
  <c r="K34" i="1" s="1"/>
  <c r="L34" i="1" s="1"/>
  <c r="M34" i="1" s="1"/>
  <c r="N34" i="1" s="1"/>
  <c r="O34" i="1" s="1"/>
  <c r="AF95" i="2" l="1"/>
  <c r="AF100" i="2" s="1"/>
  <c r="AH95" i="2"/>
  <c r="AH100" i="2" s="1"/>
  <c r="AH101" i="2" s="1"/>
  <c r="AG95" i="2"/>
  <c r="AG100" i="2" s="1"/>
  <c r="AG101" i="2" s="1"/>
  <c r="AF101" i="2"/>
  <c r="L76" i="2"/>
  <c r="L79" i="2" s="1"/>
  <c r="L80" i="2" s="1"/>
  <c r="M76" i="2"/>
  <c r="M79" i="2" s="1"/>
  <c r="M80" i="2" s="1"/>
  <c r="I91" i="2"/>
  <c r="G91" i="2"/>
  <c r="U101" i="2"/>
  <c r="W95" i="2"/>
  <c r="W100" i="2" s="1"/>
  <c r="W101" i="2" s="1"/>
  <c r="T95" i="1"/>
  <c r="T100" i="1" s="1"/>
  <c r="T101" i="1" s="1"/>
  <c r="V95" i="1"/>
  <c r="V100" i="1" s="1"/>
  <c r="V101" i="1" s="1"/>
  <c r="X101" i="1"/>
  <c r="Z95" i="1"/>
  <c r="Z100" i="1" s="1"/>
  <c r="Z101" i="1"/>
  <c r="S95" i="1"/>
  <c r="S100" i="1" s="1"/>
  <c r="S101" i="1" s="1"/>
  <c r="U95" i="1"/>
  <c r="U100" i="1" s="1"/>
  <c r="U101" i="1" s="1"/>
  <c r="R95" i="1"/>
  <c r="R100" i="1" s="1"/>
  <c r="R101" i="1" s="1"/>
  <c r="N79" i="2"/>
  <c r="N80" i="2" s="1"/>
  <c r="I79" i="2"/>
  <c r="I80" i="2" s="1"/>
  <c r="F79" i="2"/>
  <c r="F80" i="2" s="1"/>
  <c r="O76" i="2"/>
  <c r="O91" i="2"/>
  <c r="J79" i="2"/>
  <c r="J80" i="2" s="1"/>
  <c r="G79" i="2"/>
  <c r="G80" i="2" s="1"/>
  <c r="K79" i="2"/>
  <c r="K80" i="2" s="1"/>
  <c r="H79" i="2"/>
  <c r="H80" i="2" s="1"/>
  <c r="F78" i="1"/>
  <c r="H48" i="1"/>
  <c r="H57" i="1" s="1"/>
  <c r="N59" i="1"/>
  <c r="N70" i="1" s="1"/>
  <c r="E68" i="1"/>
  <c r="N69" i="1"/>
  <c r="C104" i="3" l="1"/>
  <c r="C48" i="3"/>
  <c r="C23" i="3"/>
  <c r="C77" i="3"/>
  <c r="C34" i="5"/>
  <c r="G94" i="2"/>
  <c r="G85" i="2"/>
  <c r="G99" i="2"/>
  <c r="I85" i="2"/>
  <c r="I99" i="2"/>
  <c r="I94" i="2"/>
  <c r="K99" i="2"/>
  <c r="K94" i="2"/>
  <c r="K85" i="2"/>
  <c r="H94" i="2"/>
  <c r="H85" i="2"/>
  <c r="H99" i="2"/>
  <c r="J85" i="2"/>
  <c r="J94" i="2"/>
  <c r="J99" i="2"/>
  <c r="N99" i="2"/>
  <c r="N94" i="2"/>
  <c r="N85" i="2"/>
  <c r="O79" i="2"/>
  <c r="O80" i="2" s="1"/>
  <c r="F94" i="2"/>
  <c r="F99" i="2"/>
  <c r="F85" i="2"/>
  <c r="L99" i="2"/>
  <c r="L94" i="2"/>
  <c r="L85" i="2"/>
  <c r="L95" i="2" s="1"/>
  <c r="L100" i="2" s="1"/>
  <c r="M99" i="2"/>
  <c r="M94" i="2"/>
  <c r="M85" i="2"/>
  <c r="M95" i="2" s="1"/>
  <c r="M100" i="2" s="1"/>
  <c r="F68" i="1"/>
  <c r="F91" i="1" s="1"/>
  <c r="H58" i="1"/>
  <c r="H69" i="1" s="1"/>
  <c r="L58" i="1"/>
  <c r="L69" i="1" s="1"/>
  <c r="K95" i="2" l="1"/>
  <c r="K100" i="2" s="1"/>
  <c r="K101" i="2" s="1"/>
  <c r="G95" i="2"/>
  <c r="G100" i="2" s="1"/>
  <c r="G101" i="2" s="1"/>
  <c r="N95" i="2"/>
  <c r="N100" i="2" s="1"/>
  <c r="N101" i="2" s="1"/>
  <c r="L101" i="2"/>
  <c r="F95" i="2"/>
  <c r="F100" i="2" s="1"/>
  <c r="F101" i="2" s="1"/>
  <c r="H95" i="2"/>
  <c r="H100" i="2" s="1"/>
  <c r="H101" i="2" s="1"/>
  <c r="I95" i="2"/>
  <c r="I100" i="2" s="1"/>
  <c r="I101" i="2" s="1"/>
  <c r="O94" i="2"/>
  <c r="O85" i="2"/>
  <c r="O95" i="2" s="1"/>
  <c r="O100" i="2" s="1"/>
  <c r="O99" i="2"/>
  <c r="M101" i="2"/>
  <c r="J95" i="2"/>
  <c r="J100" i="2" s="1"/>
  <c r="J101" i="2" s="1"/>
  <c r="F76" i="1"/>
  <c r="F79" i="1" s="1"/>
  <c r="F80" i="1" s="1"/>
  <c r="F94" i="1" s="1"/>
  <c r="E31" i="1"/>
  <c r="G54" i="1"/>
  <c r="O101" i="2" l="1"/>
  <c r="F85" i="1"/>
  <c r="F95" i="1" s="1"/>
  <c r="F100" i="1" s="1"/>
  <c r="F99" i="1"/>
  <c r="H54" i="1"/>
  <c r="F101" i="1" l="1"/>
  <c r="I54" i="1"/>
  <c r="J54" i="1" l="1"/>
  <c r="K54" i="1" l="1"/>
  <c r="L54" i="1" l="1"/>
  <c r="M54" i="1" l="1"/>
  <c r="N54" i="1" l="1"/>
  <c r="O54" i="1" l="1"/>
  <c r="G48" i="1"/>
  <c r="G57" i="1" s="1"/>
  <c r="G60" i="1"/>
  <c r="G71" i="1" l="1"/>
  <c r="G68" i="1" s="1"/>
  <c r="B104" i="3"/>
  <c r="B23" i="3"/>
  <c r="B48" i="3"/>
  <c r="G78" i="1"/>
  <c r="G91" i="1" l="1"/>
  <c r="G76" i="1"/>
  <c r="G79" i="1" s="1"/>
  <c r="G80" i="1" s="1"/>
  <c r="B35" i="5"/>
  <c r="B36" i="5" s="1"/>
  <c r="B40" i="5" s="1"/>
  <c r="B49" i="3"/>
  <c r="I48" i="1"/>
  <c r="I60" i="1"/>
  <c r="J48" i="1"/>
  <c r="J60" i="1"/>
  <c r="N48" i="1"/>
  <c r="N60" i="1"/>
  <c r="K60" i="1"/>
  <c r="H78" i="1"/>
  <c r="H60" i="1"/>
  <c r="L48" i="1"/>
  <c r="L60" i="1"/>
  <c r="K48" i="1"/>
  <c r="M48" i="1"/>
  <c r="M60" i="1"/>
  <c r="O48" i="1"/>
  <c r="O57" i="1" s="1"/>
  <c r="O60" i="1"/>
  <c r="B39" i="5" l="1"/>
  <c r="B51" i="3"/>
  <c r="B56" i="3" s="1"/>
  <c r="B38" i="5"/>
  <c r="B44" i="5" s="1"/>
  <c r="B47" i="5" s="1"/>
  <c r="B37" i="5"/>
  <c r="B43" i="5" s="1"/>
  <c r="B45" i="5" s="1"/>
  <c r="B78" i="3"/>
  <c r="B50" i="3"/>
  <c r="B53" i="3" s="1"/>
  <c r="B52" i="3"/>
  <c r="H71" i="1"/>
  <c r="H68" i="1" s="1"/>
  <c r="K71" i="1"/>
  <c r="K68" i="1" s="1"/>
  <c r="N71" i="1"/>
  <c r="N68" i="1" s="1"/>
  <c r="O71" i="1"/>
  <c r="O68" i="1" s="1"/>
  <c r="J71" i="1"/>
  <c r="J68" i="1" s="1"/>
  <c r="M71" i="1"/>
  <c r="M68" i="1" s="1"/>
  <c r="I71" i="1"/>
  <c r="I68" i="1" s="1"/>
  <c r="L71" i="1"/>
  <c r="L68" i="1" s="1"/>
  <c r="J77" i="3"/>
  <c r="J23" i="3"/>
  <c r="J34" i="5"/>
  <c r="J104" i="3"/>
  <c r="J48" i="3"/>
  <c r="G94" i="1"/>
  <c r="G99" i="1"/>
  <c r="M57" i="1"/>
  <c r="K57" i="1"/>
  <c r="L57" i="1"/>
  <c r="J57" i="1"/>
  <c r="I57" i="1"/>
  <c r="O78" i="1"/>
  <c r="N57" i="1"/>
  <c r="G85" i="1"/>
  <c r="B57" i="3" l="1"/>
  <c r="B81" i="3"/>
  <c r="B80" i="3"/>
  <c r="B85" i="3" s="1"/>
  <c r="B105" i="3"/>
  <c r="B24" i="3"/>
  <c r="B26" i="3" s="1"/>
  <c r="B31" i="3" s="1"/>
  <c r="B79" i="3"/>
  <c r="B82" i="3" s="1"/>
  <c r="G35" i="5"/>
  <c r="G49" i="3"/>
  <c r="G51" i="3" s="1"/>
  <c r="D35" i="5"/>
  <c r="D39" i="5" s="1"/>
  <c r="D49" i="3"/>
  <c r="H35" i="5"/>
  <c r="H49" i="3"/>
  <c r="H51" i="3" s="1"/>
  <c r="E49" i="3"/>
  <c r="E35" i="5"/>
  <c r="J35" i="5"/>
  <c r="J49" i="3"/>
  <c r="J51" i="3" s="1"/>
  <c r="N91" i="1"/>
  <c r="I35" i="5"/>
  <c r="I49" i="3"/>
  <c r="F35" i="5"/>
  <c r="F49" i="3"/>
  <c r="F51" i="3" s="1"/>
  <c r="C35" i="5"/>
  <c r="C49" i="3"/>
  <c r="H91" i="1"/>
  <c r="K78" i="1"/>
  <c r="F34" i="5"/>
  <c r="F48" i="3"/>
  <c r="F77" i="3"/>
  <c r="F104" i="3"/>
  <c r="F23" i="3"/>
  <c r="M78" i="1"/>
  <c r="H48" i="3"/>
  <c r="H23" i="3"/>
  <c r="H34" i="5"/>
  <c r="H77" i="3"/>
  <c r="H104" i="3"/>
  <c r="B46" i="5"/>
  <c r="N78" i="1"/>
  <c r="I23" i="3"/>
  <c r="I77" i="3"/>
  <c r="I34" i="5"/>
  <c r="I104" i="3"/>
  <c r="I48" i="3"/>
  <c r="B48" i="5"/>
  <c r="G52" i="3"/>
  <c r="I78" i="1"/>
  <c r="D48" i="3"/>
  <c r="D77" i="3"/>
  <c r="D23" i="3"/>
  <c r="D34" i="5"/>
  <c r="D104" i="3"/>
  <c r="J78" i="1"/>
  <c r="E48" i="3"/>
  <c r="E77" i="3"/>
  <c r="E104" i="3"/>
  <c r="E23" i="3"/>
  <c r="E34" i="5"/>
  <c r="L78" i="1"/>
  <c r="G23" i="3"/>
  <c r="G34" i="5"/>
  <c r="G48" i="3"/>
  <c r="G77" i="3"/>
  <c r="G104" i="3"/>
  <c r="G95" i="1"/>
  <c r="G100" i="1" s="1"/>
  <c r="G101" i="1" s="1"/>
  <c r="H76" i="1"/>
  <c r="H79" i="1" s="1"/>
  <c r="H80" i="1" s="1"/>
  <c r="H94" i="1" s="1"/>
  <c r="I76" i="1"/>
  <c r="I79" i="1" s="1"/>
  <c r="I91" i="1"/>
  <c r="K76" i="1"/>
  <c r="K79" i="1" s="1"/>
  <c r="K91" i="1"/>
  <c r="M76" i="1"/>
  <c r="M91" i="1"/>
  <c r="L76" i="1"/>
  <c r="L79" i="1" s="1"/>
  <c r="L91" i="1"/>
  <c r="O76" i="1"/>
  <c r="O79" i="1" s="1"/>
  <c r="O91" i="1"/>
  <c r="J76" i="1"/>
  <c r="J79" i="1" s="1"/>
  <c r="J91" i="1"/>
  <c r="B86" i="3" l="1"/>
  <c r="I51" i="3"/>
  <c r="E51" i="3"/>
  <c r="D52" i="3"/>
  <c r="D51" i="3"/>
  <c r="F36" i="5"/>
  <c r="F40" i="5" s="1"/>
  <c r="F38" i="5"/>
  <c r="F44" i="5" s="1"/>
  <c r="F47" i="5" s="1"/>
  <c r="F37" i="5"/>
  <c r="F43" i="5" s="1"/>
  <c r="F45" i="5" s="1"/>
  <c r="I39" i="5"/>
  <c r="I38" i="5"/>
  <c r="I44" i="5" s="1"/>
  <c r="I37" i="5"/>
  <c r="I43" i="5" s="1"/>
  <c r="J39" i="5"/>
  <c r="J38" i="5"/>
  <c r="J44" i="5" s="1"/>
  <c r="J37" i="5"/>
  <c r="J43" i="5" s="1"/>
  <c r="H50" i="3"/>
  <c r="H53" i="3" s="1"/>
  <c r="H36" i="5"/>
  <c r="H40" i="5" s="1"/>
  <c r="H38" i="5"/>
  <c r="H44" i="5" s="1"/>
  <c r="H37" i="5"/>
  <c r="H43" i="5" s="1"/>
  <c r="G78" i="3"/>
  <c r="G80" i="3" s="1"/>
  <c r="G85" i="3" s="1"/>
  <c r="G36" i="5"/>
  <c r="G40" i="5" s="1"/>
  <c r="G37" i="5"/>
  <c r="G43" i="5" s="1"/>
  <c r="G45" i="5" s="1"/>
  <c r="G38" i="5"/>
  <c r="G44" i="5" s="1"/>
  <c r="G47" i="5" s="1"/>
  <c r="J52" i="3"/>
  <c r="J56" i="3"/>
  <c r="E36" i="5"/>
  <c r="E40" i="5" s="1"/>
  <c r="E38" i="5"/>
  <c r="E44" i="5" s="1"/>
  <c r="E37" i="5"/>
  <c r="E43" i="5" s="1"/>
  <c r="D38" i="5"/>
  <c r="D44" i="5" s="1"/>
  <c r="D37" i="5"/>
  <c r="D43" i="5" s="1"/>
  <c r="I78" i="3"/>
  <c r="I80" i="3" s="1"/>
  <c r="I85" i="3" s="1"/>
  <c r="I56" i="3"/>
  <c r="G39" i="5"/>
  <c r="G56" i="3"/>
  <c r="D36" i="5"/>
  <c r="D40" i="5" s="1"/>
  <c r="B27" i="3"/>
  <c r="C51" i="3"/>
  <c r="C56" i="3" s="1"/>
  <c r="C39" i="5"/>
  <c r="C38" i="5"/>
  <c r="C44" i="5" s="1"/>
  <c r="C37" i="5"/>
  <c r="C43" i="5" s="1"/>
  <c r="B25" i="3"/>
  <c r="B28" i="3" s="1"/>
  <c r="B107" i="3"/>
  <c r="B112" i="3" s="1"/>
  <c r="E50" i="3"/>
  <c r="E53" i="3" s="1"/>
  <c r="E56" i="3"/>
  <c r="E57" i="3" s="1"/>
  <c r="B32" i="3"/>
  <c r="I52" i="3"/>
  <c r="B106" i="3"/>
  <c r="B109" i="3" s="1"/>
  <c r="B108" i="3"/>
  <c r="F56" i="3"/>
  <c r="H39" i="5"/>
  <c r="C36" i="5"/>
  <c r="C40" i="5" s="1"/>
  <c r="F39" i="5"/>
  <c r="G50" i="3"/>
  <c r="G53" i="3" s="1"/>
  <c r="C50" i="3"/>
  <c r="C53" i="3" s="1"/>
  <c r="C52" i="3"/>
  <c r="H78" i="3"/>
  <c r="H52" i="3"/>
  <c r="H56" i="3"/>
  <c r="J78" i="3"/>
  <c r="F50" i="3"/>
  <c r="F53" i="3" s="1"/>
  <c r="I36" i="5"/>
  <c r="I40" i="5" s="1"/>
  <c r="E52" i="3"/>
  <c r="K80" i="1"/>
  <c r="K94" i="1" s="1"/>
  <c r="F78" i="3"/>
  <c r="J50" i="3"/>
  <c r="J53" i="3" s="1"/>
  <c r="E78" i="3"/>
  <c r="L80" i="1"/>
  <c r="L94" i="1" s="1"/>
  <c r="J36" i="5"/>
  <c r="J40" i="5" s="1"/>
  <c r="D56" i="3"/>
  <c r="F52" i="3"/>
  <c r="D50" i="3"/>
  <c r="D53" i="3" s="1"/>
  <c r="D78" i="3"/>
  <c r="I50" i="3"/>
  <c r="I53" i="3" s="1"/>
  <c r="C78" i="3"/>
  <c r="E39" i="5"/>
  <c r="I80" i="1"/>
  <c r="I94" i="1" s="1"/>
  <c r="J80" i="1"/>
  <c r="J94" i="1" s="1"/>
  <c r="M79" i="1"/>
  <c r="M80" i="1" s="1"/>
  <c r="O80" i="1"/>
  <c r="O99" i="1" s="1"/>
  <c r="H85" i="1"/>
  <c r="H95" i="1" s="1"/>
  <c r="H100" i="1" s="1"/>
  <c r="H99" i="1"/>
  <c r="N76" i="1"/>
  <c r="N79" i="1" s="1"/>
  <c r="N80" i="1" s="1"/>
  <c r="E47" i="5" l="1"/>
  <c r="C47" i="5"/>
  <c r="C48" i="5" s="1"/>
  <c r="G105" i="3"/>
  <c r="G107" i="3" s="1"/>
  <c r="C45" i="5"/>
  <c r="C46" i="5" s="1"/>
  <c r="E45" i="5"/>
  <c r="H47" i="5"/>
  <c r="I81" i="3"/>
  <c r="I24" i="3"/>
  <c r="I26" i="3" s="1"/>
  <c r="I31" i="3" s="1"/>
  <c r="D45" i="5"/>
  <c r="D46" i="5" s="1"/>
  <c r="E46" i="5" s="1"/>
  <c r="F46" i="5" s="1"/>
  <c r="G46" i="5" s="1"/>
  <c r="H57" i="3"/>
  <c r="D47" i="5"/>
  <c r="H45" i="5"/>
  <c r="I105" i="3"/>
  <c r="I107" i="3" s="1"/>
  <c r="I112" i="3" s="1"/>
  <c r="I79" i="3"/>
  <c r="I82" i="3" s="1"/>
  <c r="I86" i="3" s="1"/>
  <c r="G24" i="3"/>
  <c r="G26" i="3" s="1"/>
  <c r="G31" i="3" s="1"/>
  <c r="G81" i="3"/>
  <c r="G79" i="3"/>
  <c r="G82" i="3" s="1"/>
  <c r="G86" i="3" s="1"/>
  <c r="D24" i="3"/>
  <c r="D26" i="3" s="1"/>
  <c r="D31" i="3" s="1"/>
  <c r="D80" i="3"/>
  <c r="D85" i="3" s="1"/>
  <c r="F80" i="3"/>
  <c r="F85" i="3" s="1"/>
  <c r="G57" i="3"/>
  <c r="H24" i="3"/>
  <c r="H26" i="3" s="1"/>
  <c r="H31" i="3" s="1"/>
  <c r="H80" i="3"/>
  <c r="H85" i="3" s="1"/>
  <c r="H86" i="3" s="1"/>
  <c r="I57" i="3"/>
  <c r="J24" i="3"/>
  <c r="J26" i="3" s="1"/>
  <c r="J31" i="3" s="1"/>
  <c r="J80" i="3"/>
  <c r="J85" i="3" s="1"/>
  <c r="B113" i="3"/>
  <c r="C57" i="3"/>
  <c r="C80" i="3"/>
  <c r="C85" i="3" s="1"/>
  <c r="I47" i="5"/>
  <c r="E24" i="3"/>
  <c r="E26" i="3" s="1"/>
  <c r="E31" i="3" s="1"/>
  <c r="E80" i="3"/>
  <c r="E85" i="3" s="1"/>
  <c r="E81" i="3"/>
  <c r="F57" i="3"/>
  <c r="F24" i="3"/>
  <c r="F26" i="3" s="1"/>
  <c r="F31" i="3" s="1"/>
  <c r="H81" i="3"/>
  <c r="F81" i="3"/>
  <c r="J79" i="3"/>
  <c r="J82" i="3" s="1"/>
  <c r="H105" i="3"/>
  <c r="H79" i="3"/>
  <c r="H82" i="3" s="1"/>
  <c r="F79" i="3"/>
  <c r="F82" i="3" s="1"/>
  <c r="F105" i="3"/>
  <c r="K55" i="3"/>
  <c r="I45" i="5"/>
  <c r="J81" i="3"/>
  <c r="K52" i="3"/>
  <c r="J105" i="3"/>
  <c r="J108" i="3" s="1"/>
  <c r="K99" i="1"/>
  <c r="E105" i="3"/>
  <c r="J47" i="5"/>
  <c r="K85" i="1"/>
  <c r="K95" i="1" s="1"/>
  <c r="K100" i="1" s="1"/>
  <c r="K101" i="1" s="1"/>
  <c r="D79" i="3"/>
  <c r="D82" i="3" s="1"/>
  <c r="E79" i="3"/>
  <c r="E82" i="3" s="1"/>
  <c r="D57" i="3"/>
  <c r="J45" i="5"/>
  <c r="C79" i="3"/>
  <c r="C82" i="3" s="1"/>
  <c r="C105" i="3"/>
  <c r="C81" i="3"/>
  <c r="D105" i="3"/>
  <c r="D108" i="3" s="1"/>
  <c r="C24" i="3"/>
  <c r="J85" i="1"/>
  <c r="J95" i="1" s="1"/>
  <c r="J100" i="1" s="1"/>
  <c r="D81" i="3"/>
  <c r="J57" i="3"/>
  <c r="L99" i="1"/>
  <c r="L85" i="1"/>
  <c r="L95" i="1" s="1"/>
  <c r="L100" i="1" s="1"/>
  <c r="I85" i="1"/>
  <c r="I95" i="1" s="1"/>
  <c r="I100" i="1" s="1"/>
  <c r="I99" i="1"/>
  <c r="I101" i="1" s="1"/>
  <c r="G106" i="3"/>
  <c r="G109" i="3" s="1"/>
  <c r="G108" i="3"/>
  <c r="G112" i="3"/>
  <c r="J99" i="1"/>
  <c r="M85" i="1"/>
  <c r="M99" i="1"/>
  <c r="N94" i="1"/>
  <c r="N85" i="1"/>
  <c r="N95" i="1" s="1"/>
  <c r="N100" i="1" s="1"/>
  <c r="M94" i="1"/>
  <c r="O85" i="1"/>
  <c r="O94" i="1"/>
  <c r="H101" i="1"/>
  <c r="N99" i="1"/>
  <c r="D48" i="5" l="1"/>
  <c r="E48" i="5" s="1"/>
  <c r="F48" i="5" s="1"/>
  <c r="G48" i="5" s="1"/>
  <c r="H48" i="5" s="1"/>
  <c r="I48" i="5" s="1"/>
  <c r="J48" i="5" s="1"/>
  <c r="K48" i="5" s="1"/>
  <c r="L48" i="5" s="1"/>
  <c r="M48" i="5" s="1"/>
  <c r="N48" i="5" s="1"/>
  <c r="O48" i="5" s="1"/>
  <c r="P48" i="5" s="1"/>
  <c r="Q48" i="5" s="1"/>
  <c r="R48" i="5" s="1"/>
  <c r="S48" i="5" s="1"/>
  <c r="T48" i="5" s="1"/>
  <c r="U48" i="5" s="1"/>
  <c r="V48" i="5" s="1"/>
  <c r="W48" i="5" s="1"/>
  <c r="X48" i="5" s="1"/>
  <c r="Y48" i="5" s="1"/>
  <c r="Z48" i="5" s="1"/>
  <c r="J25" i="3"/>
  <c r="J28" i="3" s="1"/>
  <c r="I25" i="3"/>
  <c r="I28" i="3" s="1"/>
  <c r="B6" i="5"/>
  <c r="I27" i="3"/>
  <c r="J27" i="3"/>
  <c r="I32" i="3"/>
  <c r="F25" i="3"/>
  <c r="F28" i="3" s="1"/>
  <c r="F32" i="3"/>
  <c r="F27" i="3"/>
  <c r="C6" i="5"/>
  <c r="I108" i="3"/>
  <c r="H46" i="5"/>
  <c r="I46" i="5" s="1"/>
  <c r="J46" i="5" s="1"/>
  <c r="K46" i="5" s="1"/>
  <c r="L46" i="5" s="1"/>
  <c r="M46" i="5" s="1"/>
  <c r="N46" i="5" s="1"/>
  <c r="O46" i="5" s="1"/>
  <c r="P46" i="5" s="1"/>
  <c r="Q46" i="5" s="1"/>
  <c r="R46" i="5" s="1"/>
  <c r="S46" i="5" s="1"/>
  <c r="T46" i="5" s="1"/>
  <c r="U46" i="5" s="1"/>
  <c r="V46" i="5" s="1"/>
  <c r="W46" i="5" s="1"/>
  <c r="X46" i="5" s="1"/>
  <c r="Y46" i="5" s="1"/>
  <c r="Z46" i="5" s="1"/>
  <c r="I106" i="3"/>
  <c r="I109" i="3" s="1"/>
  <c r="I113" i="3" s="1"/>
  <c r="E27" i="3"/>
  <c r="E25" i="3"/>
  <c r="E28" i="3" s="1"/>
  <c r="E32" i="3" s="1"/>
  <c r="G25" i="3"/>
  <c r="G28" i="3" s="1"/>
  <c r="G32" i="3" s="1"/>
  <c r="G27" i="3"/>
  <c r="P3" i="4"/>
  <c r="D27" i="3"/>
  <c r="H25" i="3"/>
  <c r="H28" i="3" s="1"/>
  <c r="H32" i="3" s="1"/>
  <c r="H106" i="3"/>
  <c r="H109" i="3" s="1"/>
  <c r="H107" i="3"/>
  <c r="H112" i="3" s="1"/>
  <c r="H113" i="3" s="1"/>
  <c r="D106" i="3"/>
  <c r="D109" i="3" s="1"/>
  <c r="D107" i="3"/>
  <c r="D112" i="3" s="1"/>
  <c r="F86" i="3"/>
  <c r="J107" i="3"/>
  <c r="J112" i="3" s="1"/>
  <c r="F107" i="3"/>
  <c r="F112" i="3" s="1"/>
  <c r="H27" i="3"/>
  <c r="D25" i="3"/>
  <c r="D28" i="3" s="1"/>
  <c r="D32" i="3" s="1"/>
  <c r="C86" i="3"/>
  <c r="C26" i="3"/>
  <c r="C31" i="3" s="1"/>
  <c r="K31" i="3" s="1"/>
  <c r="C107" i="3"/>
  <c r="C112" i="3" s="1"/>
  <c r="E86" i="3"/>
  <c r="E107" i="3"/>
  <c r="E112" i="3" s="1"/>
  <c r="K83" i="3"/>
  <c r="F108" i="3"/>
  <c r="F106" i="3"/>
  <c r="F109" i="3" s="1"/>
  <c r="J86" i="3"/>
  <c r="H108" i="3"/>
  <c r="J106" i="3"/>
  <c r="J109" i="3" s="1"/>
  <c r="K56" i="3"/>
  <c r="K80" i="3"/>
  <c r="E106" i="3"/>
  <c r="E109" i="3" s="1"/>
  <c r="D86" i="3"/>
  <c r="L101" i="1"/>
  <c r="E108" i="3"/>
  <c r="K79" i="3"/>
  <c r="C25" i="3"/>
  <c r="C28" i="3" s="1"/>
  <c r="C27" i="3"/>
  <c r="C106" i="3"/>
  <c r="C109" i="3" s="1"/>
  <c r="J101" i="1"/>
  <c r="C108" i="3"/>
  <c r="G113" i="3"/>
  <c r="J32" i="3"/>
  <c r="M95" i="1"/>
  <c r="M100" i="1" s="1"/>
  <c r="M101" i="1" s="1"/>
  <c r="O95" i="1"/>
  <c r="O100" i="1" s="1"/>
  <c r="O101" i="1" s="1"/>
  <c r="N101" i="1"/>
  <c r="P4" i="4" l="1"/>
  <c r="D113" i="3"/>
  <c r="J113" i="3"/>
  <c r="K27" i="3"/>
  <c r="F113" i="3"/>
  <c r="C113" i="3"/>
  <c r="C32" i="3"/>
  <c r="K32" i="3" s="1"/>
  <c r="E113" i="3"/>
  <c r="K28" i="3"/>
  <c r="K109" i="3"/>
  <c r="P2" i="4"/>
  <c r="B6" i="4" s="1"/>
  <c r="B10" i="4" s="1"/>
  <c r="K105" i="3"/>
  <c r="K106" i="3"/>
  <c r="K110" i="3" l="1"/>
  <c r="P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Mark, Brandon</author>
  </authors>
  <commentList>
    <comment ref="C6" authorId="0" shapeId="0" xr:uid="{C752FA63-676F-4FDA-A9CE-1B9B5D07093A}">
      <text>
        <r>
          <rPr>
            <b/>
            <sz val="9"/>
            <color indexed="81"/>
            <rFont val="Tahoma"/>
            <family val="2"/>
          </rPr>
          <t>Mark, Brandon:</t>
        </r>
        <r>
          <rPr>
            <sz val="9"/>
            <color indexed="81"/>
            <rFont val="Tahoma"/>
            <family val="2"/>
          </rPr>
          <t xml:space="preserve">
Negative for first three years at $0.39/kWh rate charging fee because most usage will be from fleet vehicles</t>
        </r>
      </text>
    </comment>
    <comment ref="A7" authorId="0" shapeId="0" xr:uid="{AB3EF528-7356-47E9-A763-4AFA16EE41A5}">
      <text>
        <r>
          <rPr>
            <b/>
            <sz val="9"/>
            <color indexed="81"/>
            <rFont val="Tahoma"/>
            <family val="2"/>
          </rPr>
          <t>Mark, Brandon:</t>
        </r>
        <r>
          <rPr>
            <sz val="9"/>
            <color indexed="81"/>
            <rFont val="Tahoma"/>
            <family val="2"/>
          </rPr>
          <t xml:space="preserve">
note: estimated payback year does not update when yellow shaded cells are manipulated. See charts below to see new payback year</t>
        </r>
      </text>
    </comment>
    <comment ref="A23" authorId="0" shapeId="0" xr:uid="{64E600D0-3AF4-4C1F-BC21-373A0B101761}">
      <text>
        <r>
          <rPr>
            <b/>
            <sz val="9"/>
            <color indexed="81"/>
            <rFont val="Tahoma"/>
            <family val="2"/>
          </rPr>
          <t>Mark, Brandon:</t>
        </r>
        <r>
          <rPr>
            <sz val="9"/>
            <color indexed="81"/>
            <rFont val="Tahoma"/>
            <family val="2"/>
          </rPr>
          <t xml:space="preserve">
Assumes Eversource Standard Supply Rate. Ability to procure lower third party rates after usage data is realized.</t>
        </r>
      </text>
    </comment>
    <comment ref="A24" authorId="0" shapeId="0" xr:uid="{4D43C0A7-D8AF-4453-B28D-47BF0F1BFC10}">
      <text>
        <r>
          <rPr>
            <b/>
            <sz val="9"/>
            <color indexed="81"/>
            <rFont val="Tahoma"/>
            <family val="2"/>
          </rPr>
          <t>Mark, Brandon:</t>
        </r>
        <r>
          <rPr>
            <sz val="9"/>
            <color indexed="81"/>
            <rFont val="Tahoma"/>
            <family val="2"/>
          </rPr>
          <t xml:space="preserve">
Initially assumed $0/kWh. Can be changed as long as City does not realize a profit in first three years of operation.</t>
        </r>
      </text>
    </comment>
    <comment ref="A25" authorId="0" shapeId="0" xr:uid="{EB2A05B4-3E05-459B-8ECE-BC6B15E8116C}">
      <text>
        <r>
          <rPr>
            <b/>
            <sz val="9"/>
            <color indexed="81"/>
            <rFont val="Tahoma"/>
            <family val="2"/>
          </rPr>
          <t>Mark, Brandon:</t>
        </r>
        <r>
          <rPr>
            <sz val="9"/>
            <color indexed="81"/>
            <rFont val="Tahoma"/>
            <family val="2"/>
          </rPr>
          <t xml:space="preserve">
Fee to charge after 3 year grant period. Rate based on suggested price from third party industry professional.</t>
        </r>
      </text>
    </comment>
    <comment ref="A26" authorId="0" shapeId="0" xr:uid="{114F10BD-B92F-4899-8822-7E91BDDA7239}">
      <text>
        <r>
          <rPr>
            <b/>
            <sz val="9"/>
            <color indexed="81"/>
            <rFont val="Tahoma"/>
            <family val="2"/>
          </rPr>
          <t>Mark, Brandon:</t>
        </r>
        <r>
          <rPr>
            <sz val="9"/>
            <color indexed="81"/>
            <rFont val="Tahoma"/>
            <family val="2"/>
          </rPr>
          <t xml:space="preserve">
charging fee with suggested rate by ProPark. Maximum suggested rate is $0.59/kWh</t>
        </r>
      </text>
    </comment>
    <comment ref="A28" authorId="0" shapeId="0" xr:uid="{D34E41B2-9E0F-4BC3-96C8-3B2E65CFA5C7}">
      <text>
        <r>
          <rPr>
            <b/>
            <sz val="9"/>
            <color indexed="81"/>
            <rFont val="Tahoma"/>
            <family val="2"/>
          </rPr>
          <t>Mark, Brandon:</t>
        </r>
        <r>
          <rPr>
            <sz val="9"/>
            <color indexed="81"/>
            <rFont val="Tahoma"/>
            <family val="2"/>
          </rPr>
          <t xml:space="preserve">
Per charge event flat rate fee. Not included in this analysis but an optional pricing mechanism. Can be up to $1/charge session.</t>
        </r>
      </text>
    </comment>
    <comment ref="A29" authorId="0" shapeId="0" xr:uid="{380B5F2E-BCF9-4270-ADB6-0F51A019D5C4}">
      <text>
        <r>
          <rPr>
            <b/>
            <sz val="9"/>
            <color indexed="81"/>
            <rFont val="Tahoma"/>
            <family val="2"/>
          </rPr>
          <t>Mark, Brandon:</t>
        </r>
        <r>
          <rPr>
            <sz val="9"/>
            <color indexed="81"/>
            <rFont val="Tahoma"/>
            <family val="2"/>
          </rPr>
          <t xml:space="preserve">
Estimated flat fee per charger port to permit network connectivity for monitoring purposes.</t>
        </r>
      </text>
    </comment>
    <comment ref="A31" authorId="0" shapeId="0" xr:uid="{0792222D-AE8A-4298-9408-33F88BB67BBE}">
      <text>
        <r>
          <rPr>
            <b/>
            <sz val="9"/>
            <color indexed="81"/>
            <rFont val="Tahoma"/>
            <family val="2"/>
          </rPr>
          <t>Mark, Brandon:</t>
        </r>
        <r>
          <rPr>
            <sz val="9"/>
            <color indexed="81"/>
            <rFont val="Tahoma"/>
            <family val="2"/>
          </rPr>
          <t xml:space="preserve">
Monthly flat rate service charge per account. Estimated 1 account per floor of parking garage, $270*4/month</t>
        </r>
      </text>
    </comment>
    <comment ref="A34" authorId="0" shapeId="0" xr:uid="{C4565B2A-3B46-4808-A216-E00A94AB89AC}">
      <text>
        <r>
          <rPr>
            <b/>
            <sz val="9"/>
            <color indexed="81"/>
            <rFont val="Tahoma"/>
            <family val="2"/>
          </rPr>
          <t>Mark, Brandon:</t>
        </r>
        <r>
          <rPr>
            <sz val="9"/>
            <color indexed="81"/>
            <rFont val="Tahoma"/>
            <family val="2"/>
          </rPr>
          <t xml:space="preserve">
Estimated charge sessions per day provided by 3rd party data. Assumes 5% of total parked vehicles are EV based on current market adoption, and 15% of the total EV drivers will charge while at parking garage. Assumes 3% increase for EV market adoption each year.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Mark, Brandon</author>
  </authors>
  <commentList>
    <comment ref="A14" authorId="0" shapeId="0" xr:uid="{9986547E-3B93-4366-97A3-BE9ADA18256C}">
      <text>
        <r>
          <rPr>
            <b/>
            <sz val="9"/>
            <color indexed="81"/>
            <rFont val="Tahoma"/>
            <family val="2"/>
          </rPr>
          <t>Mark, Brandon:</t>
        </r>
        <r>
          <rPr>
            <sz val="9"/>
            <color indexed="81"/>
            <rFont val="Tahoma"/>
            <family val="2"/>
          </rPr>
          <t xml:space="preserve">
Assumes Eversource Standard Supply Rate. Ability to procure lower third party rates after usage data is realized.</t>
        </r>
      </text>
    </comment>
    <comment ref="A15" authorId="0" shapeId="0" xr:uid="{B46E4BCD-3B3E-452F-829B-5206AB2B0682}">
      <text>
        <r>
          <rPr>
            <b/>
            <sz val="9"/>
            <color indexed="81"/>
            <rFont val="Tahoma"/>
            <family val="2"/>
          </rPr>
          <t>Mark, Brandon:</t>
        </r>
        <r>
          <rPr>
            <sz val="9"/>
            <color indexed="81"/>
            <rFont val="Tahoma"/>
            <family val="2"/>
          </rPr>
          <t xml:space="preserve">
Initially assumed $0/kWh. Can be changed as long as City does not realize a profit in first three years of operation (according to grant rules)</t>
        </r>
      </text>
    </comment>
    <comment ref="A16" authorId="0" shapeId="0" xr:uid="{C3ED7C18-140A-4CCA-932B-AA6F91FC0142}">
      <text>
        <r>
          <rPr>
            <b/>
            <sz val="9"/>
            <color indexed="81"/>
            <rFont val="Tahoma"/>
            <family val="2"/>
          </rPr>
          <t>Mark, Brandon:</t>
        </r>
        <r>
          <rPr>
            <sz val="9"/>
            <color indexed="81"/>
            <rFont val="Tahoma"/>
            <family val="2"/>
          </rPr>
          <t xml:space="preserve">
$/kWh utilization fee after 3 years of operation if grant rules are followed</t>
        </r>
      </text>
    </comment>
    <comment ref="A17" authorId="0" shapeId="0" xr:uid="{8830B5D3-9422-4B09-86BC-038679DAB333}">
      <text>
        <r>
          <rPr>
            <b/>
            <sz val="9"/>
            <color indexed="81"/>
            <rFont val="Tahoma"/>
            <family val="2"/>
          </rPr>
          <t>Mark, Brandon:</t>
        </r>
        <r>
          <rPr>
            <sz val="9"/>
            <color indexed="81"/>
            <rFont val="Tahoma"/>
            <family val="2"/>
          </rPr>
          <t xml:space="preserve">
Per charge event flat rate fee. Not included in this analysis but an optional pricing mechanism. Can be up to $1/session</t>
        </r>
      </text>
    </comment>
    <comment ref="A20" authorId="0" shapeId="0" xr:uid="{5C205F88-1410-4C7C-A99E-4FE17E84371B}">
      <text>
        <r>
          <rPr>
            <b/>
            <sz val="9"/>
            <color indexed="81"/>
            <rFont val="Tahoma"/>
            <family val="2"/>
          </rPr>
          <t>Mark, Brandon:</t>
        </r>
        <r>
          <rPr>
            <sz val="9"/>
            <color indexed="81"/>
            <rFont val="Tahoma"/>
            <family val="2"/>
          </rPr>
          <t xml:space="preserve">
Monthly flat rate service charge per account. Estimated 1 account per floor of parking garage, $270*4/month</t>
        </r>
      </text>
    </comment>
    <comment ref="A23" authorId="0" shapeId="0" xr:uid="{6EB0D355-191F-405E-BFBB-EE7E4A9AD579}">
      <text>
        <r>
          <rPr>
            <b/>
            <sz val="9"/>
            <color indexed="81"/>
            <rFont val="Tahoma"/>
            <family val="2"/>
          </rPr>
          <t>Mark, Brandon:</t>
        </r>
        <r>
          <rPr>
            <sz val="9"/>
            <color indexed="81"/>
            <rFont val="Tahoma"/>
            <family val="2"/>
          </rPr>
          <t xml:space="preserve">
Estimated charge sessions per day provided by 3rd party data. Assumes 5% of total parked vehicles are EV based on current market adoption, and 15% of the total EV drivers will charge while at parking garage. Assumes 3% increase for EV market adoption each year.</t>
        </r>
      </text>
    </comment>
  </commentList>
</comments>
</file>

<file path=xl/sharedStrings.xml><?xml version="1.0" encoding="utf-8"?>
<sst xmlns="http://schemas.openxmlformats.org/spreadsheetml/2006/main" count="284" uniqueCount="149">
  <si>
    <t>Charging Station Assumptions - Type 2</t>
  </si>
  <si>
    <t>Charging station type</t>
  </si>
  <si>
    <t>Level 2 (local)</t>
  </si>
  <si>
    <t>Charging Station Capital Cost</t>
  </si>
  <si>
    <t>Equipment costs</t>
  </si>
  <si>
    <t>Charging station equipment cost (per station) [$]</t>
  </si>
  <si>
    <t>Installation and siting costs</t>
  </si>
  <si>
    <t>Construction and equipment installation cost (per station) [$]</t>
  </si>
  <si>
    <t>Electric utility upgrades and grid interconnection cost (per site) [$]</t>
  </si>
  <si>
    <t>Total number of stations [#]</t>
  </si>
  <si>
    <t>Per-energy revenue</t>
  </si>
  <si>
    <t>Per-charge event user fee [$/session]</t>
  </si>
  <si>
    <t>Per-charge event revenue</t>
  </si>
  <si>
    <t>Annual maintenance cost as percentage of equipment value [%]</t>
  </si>
  <si>
    <t>Maintenance cost (annual)</t>
  </si>
  <si>
    <t>Total cost of networking and connectivity [$]</t>
  </si>
  <si>
    <t>Projected number of Total charging sessions  [sessions/per day]</t>
  </si>
  <si>
    <t>Predicted Usage amount</t>
  </si>
  <si>
    <t xml:space="preserve">Networking Cost Per charging port </t>
  </si>
  <si>
    <t>Increase of EV population</t>
  </si>
  <si>
    <t xml:space="preserve">All Electric Vehicles </t>
  </si>
  <si>
    <t>9 am - 5 pm</t>
  </si>
  <si>
    <t>Total initial Type 2 station capital required [$]</t>
  </si>
  <si>
    <t>6 pm - 8 am</t>
  </si>
  <si>
    <t>10 am - 9 pm</t>
  </si>
  <si>
    <t>24h</t>
  </si>
  <si>
    <t>Overnight charging</t>
  </si>
  <si>
    <t xml:space="preserve">Half work day </t>
  </si>
  <si>
    <t xml:space="preserve">Total time by Session in hours </t>
  </si>
  <si>
    <t xml:space="preserve">Shopping </t>
  </si>
  <si>
    <t>Total charging operating cost per year</t>
  </si>
  <si>
    <t>Maintenance cost per year</t>
  </si>
  <si>
    <t>Space Occupancy relative to predicted EV</t>
  </si>
  <si>
    <t>Total Spots of garage occupied</t>
  </si>
  <si>
    <t xml:space="preserve">Speed at which EV charger will dispense </t>
  </si>
  <si>
    <t xml:space="preserve">Charging Penalties </t>
  </si>
  <si>
    <t>Increase of EV population by Year</t>
  </si>
  <si>
    <t>Gross Charging Station Revenue Per-Day</t>
  </si>
  <si>
    <t>EV Charging kW sold cost [$/kWh]</t>
  </si>
  <si>
    <t xml:space="preserve">Total Gross </t>
  </si>
  <si>
    <t xml:space="preserve">Total Gross operation Cost </t>
  </si>
  <si>
    <t xml:space="preserve">Point of Sale Transaction Fees </t>
  </si>
  <si>
    <t>Networking Per Year</t>
  </si>
  <si>
    <t>Total Gross Operating Cost</t>
  </si>
  <si>
    <t>Total Net Income</t>
  </si>
  <si>
    <t>Energy Usage Per-Day</t>
  </si>
  <si>
    <t>Charging Station Utilization Per-Day</t>
  </si>
  <si>
    <t>Totals</t>
  </si>
  <si>
    <t>Transaction Fee/ Taxes</t>
  </si>
  <si>
    <t>Charging Station Operating Cost Per year</t>
  </si>
  <si>
    <t xml:space="preserve">Cost of electricity per year </t>
  </si>
  <si>
    <t>Building Rating</t>
  </si>
  <si>
    <t>Total Gross Revenue per day</t>
  </si>
  <si>
    <t>Total Yearly Net Revenue</t>
  </si>
  <si>
    <t xml:space="preserve">Total Gross Revenue </t>
  </si>
  <si>
    <t>Projected number of charging sessions for Office Needed [sessions/per day]</t>
  </si>
  <si>
    <t>Projected number of charging sessions for Transients Needed [sessions/per day]</t>
  </si>
  <si>
    <t>Projected number of charging sessions for Residents Needed [sessions/per day]</t>
  </si>
  <si>
    <t>Total kWh of charging per day Residents Needed</t>
  </si>
  <si>
    <t>Total kWh of charging per day Offices Needed</t>
  </si>
  <si>
    <t>Total kWh of charging per day Transients Needed</t>
  </si>
  <si>
    <t>Total kWh of usage per day Dispensed (kWh/day consumed)</t>
  </si>
  <si>
    <t xml:space="preserve">Percent of Residential Occupancy by year predicted </t>
  </si>
  <si>
    <t xml:space="preserve">Spots predicted to be occupied by Residential </t>
  </si>
  <si>
    <t>Percent of Office tenants by year predicted</t>
  </si>
  <si>
    <t xml:space="preserve">Spots predicted to be occupied by Office Tenants </t>
  </si>
  <si>
    <t>Percent of Transient parkers by year predicted</t>
  </si>
  <si>
    <t xml:space="preserve">Spots predicted to by occupied by Transient parkers </t>
  </si>
  <si>
    <t>Possible EV amount for Residential Parkers</t>
  </si>
  <si>
    <t>Possible EV amount for Office Tenant Parkers</t>
  </si>
  <si>
    <t>Possible EV amount for Transient Parkers</t>
  </si>
  <si>
    <t>Predicted Usage amount (of the EV population)</t>
  </si>
  <si>
    <r>
      <t xml:space="preserve">This is the Net Revenue projections for 2023 to 2032 for 888 Washington Blvd Level 2 Chargers. 
Please edit the sheet to reflect the current variables like predicted occupancy rate per given year or electricity cost. 
    Space Occupancy relative to predicted EV - This section take the predicted occupancy of the building and garage to then predicts the make up of chargers. 
     </t>
    </r>
    <r>
      <rPr>
        <b/>
        <sz val="8"/>
        <rFont val="Arial"/>
        <family val="2"/>
      </rPr>
      <t>Increase of EV population -</t>
    </r>
    <r>
      <rPr>
        <sz val="8"/>
        <rFont val="Arial"/>
        <family val="2"/>
      </rPr>
      <t xml:space="preserve"> The possible increase of EV by year and predicted percentage on the road.
    </t>
    </r>
    <r>
      <rPr>
        <b/>
        <sz val="8"/>
        <rFont val="Arial"/>
        <family val="2"/>
      </rPr>
      <t xml:space="preserve">Charging Station Utilization Per Day - </t>
    </r>
    <r>
      <rPr>
        <sz val="8"/>
        <rFont val="Arial"/>
        <family val="2"/>
      </rPr>
      <t xml:space="preserve"> There is a certain percent chance that the client will utilize the EV station.   The client is predicted to use the station one or two times a week for a full charge. Lesser for individuals who have to charge at their home.  
    </t>
    </r>
    <r>
      <rPr>
        <b/>
        <sz val="8"/>
        <rFont val="Arial"/>
        <family val="2"/>
      </rPr>
      <t>Energy Usage Per Day -</t>
    </r>
    <r>
      <rPr>
        <sz val="8"/>
        <rFont val="Arial"/>
        <family val="2"/>
      </rPr>
      <t xml:space="preserve"> When the Client decides to charge, then they will mostly charge for the maximum time they are at the location or till full. If the client is a resident, then they will possibly charging overnight, Office tenant for half a day at work, and transient would be average time they are in the location. 
    </t>
    </r>
    <r>
      <rPr>
        <b/>
        <sz val="8"/>
        <rFont val="Arial"/>
        <family val="2"/>
      </rPr>
      <t>Gross Charging Station Revenue Per-Day -</t>
    </r>
    <r>
      <rPr>
        <sz val="8"/>
        <rFont val="Arial"/>
        <family val="2"/>
      </rPr>
      <t xml:space="preserve"> Currently, EVC sells kWh to clients at a premium; a normal average is .39 cents per kW; there is a possibility to add a plug-in fee of $1.
    </t>
    </r>
    <r>
      <rPr>
        <b/>
        <sz val="8"/>
        <rFont val="Arial"/>
        <family val="2"/>
      </rPr>
      <t>Charging Station Operating Cost Per Year</t>
    </r>
    <r>
      <rPr>
        <sz val="8"/>
        <rFont val="Arial"/>
        <family val="2"/>
      </rPr>
      <t xml:space="preserve"> -  Normal operation cost of the station.
    </t>
    </r>
    <r>
      <rPr>
        <b/>
        <sz val="8"/>
        <rFont val="Arial"/>
        <family val="2"/>
      </rPr>
      <t xml:space="preserve">Maintenance </t>
    </r>
    <r>
      <rPr>
        <sz val="8"/>
        <rFont val="Arial"/>
        <family val="2"/>
      </rPr>
      <t xml:space="preserve">- will be relatively low during the first years of operation, but EVC generally have a ten-year life but are known to last much longer. This will generally pay for the rip and replacement of broken chargers.
     </t>
    </r>
    <r>
      <rPr>
        <b/>
        <sz val="8"/>
        <rFont val="Arial"/>
        <family val="2"/>
      </rPr>
      <t xml:space="preserve">Cost of electricity </t>
    </r>
    <r>
      <rPr>
        <sz val="8"/>
        <rFont val="Arial"/>
        <family val="2"/>
      </rPr>
      <t xml:space="preserve">- As stated, the Cost of electricity
Transaction fee and Taxes - There will be a POS fee and taxes collected when charged to the client. </t>
    </r>
  </si>
  <si>
    <r>
      <t xml:space="preserve">This is the Net Revenue projections for 2023 to 2032 for 888 Washington Blvd Level 3 Chargers. 
Please edit the sheet to reflect the current variables like predicted occupancy rate per given year or electricity cost. 
    Space Occupancy relative to predicted EV - This section take the predicted occupancy of the building and garage to then predicts the make up of chargers. 
     </t>
    </r>
    <r>
      <rPr>
        <b/>
        <sz val="8"/>
        <rFont val="Arial"/>
        <family val="2"/>
      </rPr>
      <t>Increase of EV population -</t>
    </r>
    <r>
      <rPr>
        <sz val="8"/>
        <rFont val="Arial"/>
        <family val="2"/>
      </rPr>
      <t xml:space="preserve"> The possible increase of EV by year and predicted percentage on the road.
    </t>
    </r>
    <r>
      <rPr>
        <b/>
        <sz val="8"/>
        <rFont val="Arial"/>
        <family val="2"/>
      </rPr>
      <t xml:space="preserve">Charging Station Utilization Per Day - </t>
    </r>
    <r>
      <rPr>
        <sz val="8"/>
        <rFont val="Arial"/>
        <family val="2"/>
      </rPr>
      <t xml:space="preserve"> There is a certain percent chance that the client will utilize the EV station.   The client is predicted to use the station one or two times a week for a full charge. Lesser for individuals who have to charge at their home.  
    </t>
    </r>
    <r>
      <rPr>
        <b/>
        <sz val="8"/>
        <rFont val="Arial"/>
        <family val="2"/>
      </rPr>
      <t>Energy Usage Per Day -</t>
    </r>
    <r>
      <rPr>
        <sz val="8"/>
        <rFont val="Arial"/>
        <family val="2"/>
      </rPr>
      <t xml:space="preserve"> When the Client decides to charge, then they will mostly charge for the maximum time they are at the location or till full. If the client is a resident, then they will possibly charging overnight, Office tenant for half a day at work, and transient would be average time they are in the location. 
    </t>
    </r>
    <r>
      <rPr>
        <b/>
        <sz val="8"/>
        <rFont val="Arial"/>
        <family val="2"/>
      </rPr>
      <t>Gross Charging Station Revenue Per-Day -</t>
    </r>
    <r>
      <rPr>
        <sz val="8"/>
        <rFont val="Arial"/>
        <family val="2"/>
      </rPr>
      <t xml:space="preserve"> Currently, EVC sells kWh to clients at a premium; a normal average is .39 cents per kW; there is a possibility to add a plug-in fee of $1.
    </t>
    </r>
    <r>
      <rPr>
        <b/>
        <sz val="8"/>
        <rFont val="Arial"/>
        <family val="2"/>
      </rPr>
      <t>Charging Station Operating Cost Per Year</t>
    </r>
    <r>
      <rPr>
        <sz val="8"/>
        <rFont val="Arial"/>
        <family val="2"/>
      </rPr>
      <t xml:space="preserve"> -  Normal operation cost of the station.
    </t>
    </r>
    <r>
      <rPr>
        <b/>
        <sz val="8"/>
        <rFont val="Arial"/>
        <family val="2"/>
      </rPr>
      <t xml:space="preserve">Maintenance </t>
    </r>
    <r>
      <rPr>
        <sz val="8"/>
        <rFont val="Arial"/>
        <family val="2"/>
      </rPr>
      <t xml:space="preserve">- will be relatively low during the first years of operation, but EVC generally have a ten-year life but are known to last much longer. This will generally pay for the rip and replacement of broken chargers.
     </t>
    </r>
    <r>
      <rPr>
        <b/>
        <sz val="8"/>
        <rFont val="Arial"/>
        <family val="2"/>
      </rPr>
      <t xml:space="preserve">Cost of electricity </t>
    </r>
    <r>
      <rPr>
        <sz val="8"/>
        <rFont val="Arial"/>
        <family val="2"/>
      </rPr>
      <t xml:space="preserve">- As stated, the Cost of electricity
Transaction fee and Taxes - There will be a POS fee and taxes collected when charged to the client. </t>
    </r>
  </si>
  <si>
    <t>Level 3 (local)</t>
  </si>
  <si>
    <t>Total initial Level 3 station capital required [$]</t>
  </si>
  <si>
    <t xml:space="preserve">Cost of Electricity per kWh </t>
  </si>
  <si>
    <t>Avg Electricity Cost per kWh</t>
  </si>
  <si>
    <t>Assumed Annual Networking Cost per Charge Port</t>
  </si>
  <si>
    <t>Proposed # of Charing Ports</t>
  </si>
  <si>
    <t>Total Annual Energy Consumption (kWh/yr)</t>
  </si>
  <si>
    <t>Daily Energy Cost ($/kWh/day)</t>
  </si>
  <si>
    <t>Daily Energy Consumption (kWh/day)</t>
  </si>
  <si>
    <t>Daily Charging Revenue ($/day)</t>
  </si>
  <si>
    <t>Total Annual Energy Cost ($/yr)</t>
  </si>
  <si>
    <t>Total Annual Charging Revenue ($/yr)</t>
  </si>
  <si>
    <t>Total Net Income ($/yr)</t>
  </si>
  <si>
    <t>2024 - 2032 Total</t>
  </si>
  <si>
    <t>Eversource Customer Service Charge Per Month</t>
  </si>
  <si>
    <t>Projected Qty of Charging Sessions per day (sessions/day)</t>
  </si>
  <si>
    <t>Assumed Flat Charging Fee per Session</t>
  </si>
  <si>
    <t>CT DEEP Grant</t>
  </si>
  <si>
    <t>Materials</t>
  </si>
  <si>
    <t>Labor</t>
  </si>
  <si>
    <t>Eversource Incentives - Level II</t>
  </si>
  <si>
    <t>Eversource Incentives - Level III</t>
  </si>
  <si>
    <t>$</t>
  </si>
  <si>
    <t>Scenario 1</t>
  </si>
  <si>
    <t>Scenario 2</t>
  </si>
  <si>
    <t>Scenario 3</t>
  </si>
  <si>
    <t>Scenario 4</t>
  </si>
  <si>
    <t>not included in cost because it is not likely we will get this rebate for level iii chargers</t>
  </si>
  <si>
    <t>Total (2024 - 2026)</t>
  </si>
  <si>
    <t>Eversource Level II Incentives</t>
  </si>
  <si>
    <t>With Grant</t>
  </si>
  <si>
    <t>Estimated Payback Year</t>
  </si>
  <si>
    <t>With Grant - Daily Charging Revenue ($/day)</t>
  </si>
  <si>
    <t>No Grant - Daily Charging Revenue ($/day)</t>
  </si>
  <si>
    <t>Assumed Charging Fee for 2024 to 2027 per kWh</t>
  </si>
  <si>
    <t>Assumed Charging Fee for 2027  to  2044 per kWh</t>
  </si>
  <si>
    <t>Assumed Charging Fee for 2024 to  2027 per kWh</t>
  </si>
  <si>
    <t>Assumed Charging Fee for 2027 to 2044 per kWh</t>
  </si>
  <si>
    <t>Energy Cost (2024 to 2027)</t>
  </si>
  <si>
    <t>Total Net Charging Income/Loss ($/yr)</t>
  </si>
  <si>
    <t>Energy Usage Cash Flow</t>
  </si>
  <si>
    <t>Assumed Charging Fee for 2028 to 2032 per kWh</t>
  </si>
  <si>
    <t>EV Install Cost (provided by Facilities + Grants Dept)</t>
  </si>
  <si>
    <t>Total Upfront Cost (City Bond)</t>
  </si>
  <si>
    <t>No Grant</t>
  </si>
  <si>
    <t>Energy Cost Variables</t>
  </si>
  <si>
    <t>Purchase Cost Parameters</t>
  </si>
  <si>
    <t>Summary</t>
  </si>
  <si>
    <t>Assumed Flat Charging Fee per Session (plug-in fee)</t>
  </si>
  <si>
    <t>Assumed Flat Charging Fee per Session (plug in fee)</t>
  </si>
  <si>
    <t>With Grant - Total Energy-Related Net Income/Loss ($/yr)</t>
  </si>
  <si>
    <t>No Grant - Total Energy-Related Net Income/Loss ($/yr)</t>
  </si>
  <si>
    <t>No Grant - Sum of Post-Rebate Purchase Balance and Energy-Related Net Income/Loss</t>
  </si>
  <si>
    <t>With Grant - Sum of Post-Rebate Purchase Balance and Energy-Related Net Income/Loss</t>
  </si>
  <si>
    <t>With Grant - Total Annual Charging Revenue ($/yr)</t>
  </si>
  <si>
    <t>No Grant - Total Annual Charging Revenue ($/yr)</t>
  </si>
  <si>
    <t>With Grant vs No Grant EV Charger Summary</t>
  </si>
  <si>
    <t>EV Charger Material Cost (provided by Facilities /Grants Dept)</t>
  </si>
  <si>
    <t>Example 3: $0.00/kWh fee 2024 to 2027 and $0.39/kWh fee from 2027 to 2032</t>
  </si>
  <si>
    <t>Example 4: Fee Equal to Cost of Electricity per kWh from 2024 to 2032</t>
  </si>
  <si>
    <t>Example One: $0.00/kWh fee from 2024 to 2027 and $0.00/kWh fee from 2027 to 2032</t>
  </si>
  <si>
    <t>Example Two: $0.10/kWh fee from 2024 to 2027 and $0.39/kWh fee from 2027 to 2032</t>
  </si>
  <si>
    <t>Projected number of charging sessions for Fleet Needed [sessions/per day]</t>
  </si>
  <si>
    <t>Possible EV amount for Fleet Parkers</t>
  </si>
  <si>
    <t>Total kWh of charging per day Fleet Needed</t>
  </si>
  <si>
    <t>Spots predicted to be occupied by Fleet</t>
  </si>
  <si>
    <t>5 Year Maintenance/Service Contract</t>
  </si>
  <si>
    <t>Cost After Eversource Rebate (Level II only)</t>
  </si>
  <si>
    <t>fleet --&gt;</t>
  </si>
  <si>
    <t>FY2039</t>
  </si>
  <si>
    <t>FY2047</t>
  </si>
  <si>
    <t>Total Annual Eversource Customer Service Charge ($/yr)</t>
  </si>
  <si>
    <t>Total Annual Networking Cost ($/yr)</t>
  </si>
  <si>
    <t>fleet kwh</t>
  </si>
  <si>
    <t>fleet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</si>
</sst>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0"/>
    <numFmt numFmtId="167" formatCode="0.0%"/>
    <numFmt numFmtId="168" formatCode="_(* #,##0.0_);_(* \(#,##0.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rgb="FF006100"/>
      <name val="Calibri"/>
      <family val="2"/>
      <scheme val="minor"/>
    </font>
    <font>
      <sz val="9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7" borderId="0" applyNumberFormat="0" applyBorder="0" applyAlignment="0" applyProtection="0"/>
    <xf numFmtId="0" fontId="1" fillId="8" borderId="32" applyNumberFormat="0" applyFont="0" applyAlignment="0" applyProtection="0"/>
    <xf numFmtId="0" fontId="13" fillId="9" borderId="0" applyNumberFormat="0" applyBorder="0" applyAlignment="0" applyProtection="0"/>
  </cellStyleXfs>
  <cellXfs count="264">
    <xf numFmtId="0" fontId="0" fillId="0" borderId="0" xfId="0"/>
    <xf numFmtId="0" fontId="5" fillId="0" borderId="0" xfId="0" applyFont="1"/>
    <xf numFmtId="164" fontId="5" fillId="5" borderId="3" xfId="2" applyNumberFormat="1" applyFont="1" applyFill="1" applyBorder="1" applyAlignment="1">
      <alignment horizontal="center"/>
    </xf>
    <xf numFmtId="165" fontId="5" fillId="5" borderId="3" xfId="1" applyNumberFormat="1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1" fontId="6" fillId="6" borderId="0" xfId="0" applyNumberFormat="1" applyFont="1" applyFill="1" applyAlignment="1">
      <alignment horizontal="left" wrapText="1"/>
    </xf>
    <xf numFmtId="44" fontId="5" fillId="5" borderId="3" xfId="2" applyFont="1" applyFill="1" applyBorder="1"/>
    <xf numFmtId="164" fontId="5" fillId="6" borderId="0" xfId="2" applyNumberFormat="1" applyFont="1" applyFill="1" applyBorder="1" applyAlignment="1">
      <alignment horizontal="center"/>
    </xf>
    <xf numFmtId="0" fontId="5" fillId="5" borderId="3" xfId="1" applyNumberFormat="1" applyFont="1" applyFill="1" applyBorder="1"/>
    <xf numFmtId="165" fontId="5" fillId="5" borderId="6" xfId="1" applyNumberFormat="1" applyFont="1" applyFill="1" applyBorder="1" applyAlignment="1">
      <alignment horizontal="center"/>
    </xf>
    <xf numFmtId="165" fontId="5" fillId="5" borderId="7" xfId="1" applyNumberFormat="1" applyFont="1" applyFill="1" applyBorder="1" applyAlignment="1">
      <alignment horizontal="center"/>
    </xf>
    <xf numFmtId="165" fontId="5" fillId="5" borderId="8" xfId="1" applyNumberFormat="1" applyFont="1" applyFill="1" applyBorder="1" applyAlignment="1">
      <alignment horizontal="center"/>
    </xf>
    <xf numFmtId="165" fontId="5" fillId="5" borderId="9" xfId="1" applyNumberFormat="1" applyFont="1" applyFill="1" applyBorder="1" applyAlignment="1">
      <alignment horizontal="center"/>
    </xf>
    <xf numFmtId="165" fontId="5" fillId="5" borderId="10" xfId="1" applyNumberFormat="1" applyFont="1" applyFill="1" applyBorder="1" applyAlignment="1">
      <alignment horizontal="center"/>
    </xf>
    <xf numFmtId="165" fontId="5" fillId="5" borderId="2" xfId="1" applyNumberFormat="1" applyFont="1" applyFill="1" applyBorder="1" applyAlignment="1">
      <alignment horizontal="center"/>
    </xf>
    <xf numFmtId="165" fontId="5" fillId="5" borderId="5" xfId="1" applyNumberFormat="1" applyFont="1" applyFill="1" applyBorder="1" applyAlignment="1">
      <alignment horizontal="center"/>
    </xf>
    <xf numFmtId="165" fontId="5" fillId="5" borderId="11" xfId="1" applyNumberFormat="1" applyFont="1" applyFill="1" applyBorder="1" applyAlignment="1">
      <alignment horizontal="center"/>
    </xf>
    <xf numFmtId="165" fontId="5" fillId="5" borderId="12" xfId="1" applyNumberFormat="1" applyFont="1" applyFill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10" fontId="6" fillId="6" borderId="16" xfId="0" applyNumberFormat="1" applyFont="1" applyFill="1" applyBorder="1" applyAlignment="1">
      <alignment horizontal="center"/>
    </xf>
    <xf numFmtId="1" fontId="6" fillId="6" borderId="17" xfId="0" applyNumberFormat="1" applyFont="1" applyFill="1" applyBorder="1" applyAlignment="1">
      <alignment horizontal="center"/>
    </xf>
    <xf numFmtId="1" fontId="6" fillId="6" borderId="18" xfId="0" applyNumberFormat="1" applyFont="1" applyFill="1" applyBorder="1" applyAlignment="1">
      <alignment horizontal="center"/>
    </xf>
    <xf numFmtId="1" fontId="6" fillId="6" borderId="19" xfId="0" applyNumberFormat="1" applyFont="1" applyFill="1" applyBorder="1" applyAlignment="1">
      <alignment horizontal="left" wrapText="1"/>
    </xf>
    <xf numFmtId="10" fontId="6" fillId="6" borderId="20" xfId="0" applyNumberFormat="1" applyFont="1" applyFill="1" applyBorder="1" applyAlignment="1">
      <alignment horizontal="center"/>
    </xf>
    <xf numFmtId="3" fontId="5" fillId="6" borderId="19" xfId="0" applyNumberFormat="1" applyFont="1" applyFill="1" applyBorder="1" applyAlignment="1">
      <alignment horizontal="left" wrapText="1" indent="1"/>
    </xf>
    <xf numFmtId="165" fontId="5" fillId="5" borderId="21" xfId="1" applyNumberFormat="1" applyFont="1" applyFill="1" applyBorder="1" applyAlignment="1">
      <alignment horizontal="center"/>
    </xf>
    <xf numFmtId="165" fontId="5" fillId="5" borderId="22" xfId="1" applyNumberFormat="1" applyFont="1" applyFill="1" applyBorder="1" applyAlignment="1">
      <alignment horizontal="center"/>
    </xf>
    <xf numFmtId="0" fontId="6" fillId="0" borderId="24" xfId="0" applyFont="1" applyBorder="1"/>
    <xf numFmtId="165" fontId="5" fillId="5" borderId="25" xfId="1" applyNumberFormat="1" applyFont="1" applyFill="1" applyBorder="1" applyAlignment="1">
      <alignment horizontal="center"/>
    </xf>
    <xf numFmtId="165" fontId="5" fillId="5" borderId="26" xfId="1" applyNumberFormat="1" applyFont="1" applyFill="1" applyBorder="1" applyAlignment="1">
      <alignment horizontal="center"/>
    </xf>
    <xf numFmtId="0" fontId="5" fillId="0" borderId="24" xfId="0" applyFont="1" applyBorder="1"/>
    <xf numFmtId="3" fontId="4" fillId="6" borderId="16" xfId="0" applyNumberFormat="1" applyFont="1" applyFill="1" applyBorder="1" applyAlignment="1">
      <alignment horizontal="left"/>
    </xf>
    <xf numFmtId="0" fontId="5" fillId="6" borderId="16" xfId="0" applyFont="1" applyFill="1" applyBorder="1"/>
    <xf numFmtId="0" fontId="5" fillId="0" borderId="27" xfId="0" applyFont="1" applyBorder="1"/>
    <xf numFmtId="0" fontId="5" fillId="0" borderId="19" xfId="0" applyFont="1" applyBorder="1"/>
    <xf numFmtId="1" fontId="6" fillId="6" borderId="28" xfId="0" applyNumberFormat="1" applyFont="1" applyFill="1" applyBorder="1" applyAlignment="1">
      <alignment horizontal="center"/>
    </xf>
    <xf numFmtId="1" fontId="6" fillId="6" borderId="20" xfId="0" applyNumberFormat="1" applyFont="1" applyFill="1" applyBorder="1" applyAlignment="1">
      <alignment horizontal="center"/>
    </xf>
    <xf numFmtId="1" fontId="6" fillId="6" borderId="20" xfId="0" applyNumberFormat="1" applyFont="1" applyFill="1" applyBorder="1" applyAlignment="1">
      <alignment horizontal="left" wrapText="1"/>
    </xf>
    <xf numFmtId="0" fontId="5" fillId="0" borderId="23" xfId="0" applyFont="1" applyBorder="1"/>
    <xf numFmtId="0" fontId="5" fillId="0" borderId="29" xfId="0" applyFont="1" applyBorder="1"/>
    <xf numFmtId="167" fontId="5" fillId="6" borderId="0" xfId="3" applyNumberFormat="1" applyFont="1" applyFill="1" applyBorder="1" applyAlignment="1">
      <alignment horizontal="center"/>
    </xf>
    <xf numFmtId="167" fontId="5" fillId="6" borderId="20" xfId="0" applyNumberFormat="1" applyFont="1" applyFill="1" applyBorder="1" applyAlignment="1">
      <alignment horizontal="center"/>
    </xf>
    <xf numFmtId="44" fontId="5" fillId="6" borderId="0" xfId="2" applyFont="1" applyFill="1" applyBorder="1" applyAlignment="1">
      <alignment horizontal="left"/>
    </xf>
    <xf numFmtId="3" fontId="6" fillId="6" borderId="19" xfId="0" applyNumberFormat="1" applyFont="1" applyFill="1" applyBorder="1" applyAlignment="1">
      <alignment horizontal="left" wrapText="1" indent="2"/>
    </xf>
    <xf numFmtId="164" fontId="5" fillId="6" borderId="20" xfId="2" applyNumberFormat="1" applyFont="1" applyFill="1" applyBorder="1" applyAlignment="1">
      <alignment horizontal="center"/>
    </xf>
    <xf numFmtId="0" fontId="6" fillId="0" borderId="19" xfId="0" applyFont="1" applyBorder="1"/>
    <xf numFmtId="3" fontId="6" fillId="6" borderId="19" xfId="0" applyNumberFormat="1" applyFont="1" applyFill="1" applyBorder="1" applyAlignment="1">
      <alignment horizontal="left" wrapText="1" indent="1"/>
    </xf>
    <xf numFmtId="3" fontId="5" fillId="0" borderId="19" xfId="0" applyNumberFormat="1" applyFont="1" applyBorder="1" applyAlignment="1">
      <alignment horizontal="left" wrapText="1" indent="2"/>
    </xf>
    <xf numFmtId="0" fontId="5" fillId="0" borderId="20" xfId="0" applyFont="1" applyBorder="1"/>
    <xf numFmtId="0" fontId="4" fillId="4" borderId="30" xfId="0" applyFont="1" applyFill="1" applyBorder="1"/>
    <xf numFmtId="0" fontId="5" fillId="4" borderId="30" xfId="0" applyFont="1" applyFill="1" applyBorder="1"/>
    <xf numFmtId="3" fontId="5" fillId="6" borderId="19" xfId="0" applyNumberFormat="1" applyFont="1" applyFill="1" applyBorder="1" applyAlignment="1">
      <alignment horizontal="left" wrapText="1"/>
    </xf>
    <xf numFmtId="0" fontId="5" fillId="0" borderId="19" xfId="0" applyFont="1" applyBorder="1" applyAlignment="1">
      <alignment horizontal="left"/>
    </xf>
    <xf numFmtId="0" fontId="5" fillId="0" borderId="19" xfId="0" applyFont="1" applyBorder="1" applyAlignment="1">
      <alignment horizontal="left" indent="1"/>
    </xf>
    <xf numFmtId="164" fontId="5" fillId="0" borderId="24" xfId="0" applyNumberFormat="1" applyFont="1" applyBorder="1"/>
    <xf numFmtId="3" fontId="2" fillId="2" borderId="19" xfId="4" applyNumberFormat="1" applyBorder="1" applyAlignment="1">
      <alignment horizontal="left" wrapText="1" indent="1"/>
    </xf>
    <xf numFmtId="0" fontId="2" fillId="2" borderId="0" xfId="4" applyBorder="1"/>
    <xf numFmtId="3" fontId="2" fillId="2" borderId="23" xfId="4" applyNumberFormat="1" applyBorder="1" applyAlignment="1">
      <alignment horizontal="left" wrapText="1" indent="1"/>
    </xf>
    <xf numFmtId="0" fontId="2" fillId="2" borderId="24" xfId="4" applyBorder="1"/>
    <xf numFmtId="166" fontId="2" fillId="2" borderId="0" xfId="4" applyNumberFormat="1" applyBorder="1" applyAlignment="1">
      <alignment horizontal="left" wrapText="1" indent="1"/>
    </xf>
    <xf numFmtId="3" fontId="2" fillId="2" borderId="0" xfId="4" applyNumberFormat="1" applyBorder="1" applyAlignment="1">
      <alignment horizontal="left" wrapText="1" indent="1"/>
    </xf>
    <xf numFmtId="3" fontId="2" fillId="2" borderId="0" xfId="4" applyNumberFormat="1" applyBorder="1" applyAlignment="1">
      <alignment horizontal="left" wrapText="1" indent="2"/>
    </xf>
    <xf numFmtId="0" fontId="7" fillId="2" borderId="3" xfId="4" applyFont="1" applyBorder="1" applyAlignment="1">
      <alignment wrapText="1"/>
    </xf>
    <xf numFmtId="0" fontId="2" fillId="2" borderId="29" xfId="4" applyBorder="1"/>
    <xf numFmtId="0" fontId="6" fillId="0" borderId="0" xfId="0" applyFont="1"/>
    <xf numFmtId="10" fontId="6" fillId="6" borderId="0" xfId="0" applyNumberFormat="1" applyFont="1" applyFill="1" applyAlignment="1">
      <alignment horizontal="center"/>
    </xf>
    <xf numFmtId="164" fontId="5" fillId="6" borderId="0" xfId="0" applyNumberFormat="1" applyFont="1" applyFill="1"/>
    <xf numFmtId="164" fontId="6" fillId="0" borderId="0" xfId="0" applyNumberFormat="1" applyFont="1"/>
    <xf numFmtId="3" fontId="5" fillId="6" borderId="0" xfId="0" applyNumberFormat="1" applyFont="1" applyFill="1" applyAlignment="1">
      <alignment horizontal="left" wrapText="1" indent="2"/>
    </xf>
    <xf numFmtId="0" fontId="5" fillId="6" borderId="0" xfId="0" applyFont="1" applyFill="1"/>
    <xf numFmtId="167" fontId="5" fillId="6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1" fontId="6" fillId="6" borderId="0" xfId="0" applyNumberFormat="1" applyFont="1" applyFill="1" applyAlignment="1">
      <alignment horizontal="center"/>
    </xf>
    <xf numFmtId="0" fontId="9" fillId="7" borderId="19" xfId="6" applyBorder="1"/>
    <xf numFmtId="3" fontId="5" fillId="6" borderId="0" xfId="0" applyNumberFormat="1" applyFont="1" applyFill="1" applyAlignment="1">
      <alignment wrapText="1"/>
    </xf>
    <xf numFmtId="9" fontId="5" fillId="5" borderId="0" xfId="3" applyFont="1" applyFill="1" applyBorder="1"/>
    <xf numFmtId="3" fontId="9" fillId="7" borderId="0" xfId="6" applyNumberFormat="1" applyBorder="1" applyAlignment="1">
      <alignment horizontal="left" wrapText="1" indent="2"/>
    </xf>
    <xf numFmtId="0" fontId="9" fillId="7" borderId="0" xfId="6" applyBorder="1"/>
    <xf numFmtId="164" fontId="5" fillId="5" borderId="0" xfId="2" applyNumberFormat="1" applyFont="1" applyFill="1" applyBorder="1" applyAlignment="1">
      <alignment horizontal="center"/>
    </xf>
    <xf numFmtId="3" fontId="9" fillId="7" borderId="19" xfId="6" applyNumberFormat="1" applyBorder="1" applyAlignment="1">
      <alignment horizontal="left" wrapText="1" indent="2"/>
    </xf>
    <xf numFmtId="0" fontId="7" fillId="2" borderId="33" xfId="4" applyFont="1" applyBorder="1" applyAlignment="1">
      <alignment wrapText="1"/>
    </xf>
    <xf numFmtId="165" fontId="5" fillId="5" borderId="34" xfId="1" applyNumberFormat="1" applyFont="1" applyFill="1" applyBorder="1" applyAlignment="1">
      <alignment horizontal="center"/>
    </xf>
    <xf numFmtId="165" fontId="5" fillId="5" borderId="35" xfId="1" applyNumberFormat="1" applyFont="1" applyFill="1" applyBorder="1" applyAlignment="1">
      <alignment horizontal="center"/>
    </xf>
    <xf numFmtId="165" fontId="5" fillId="5" borderId="33" xfId="1" applyNumberFormat="1" applyFont="1" applyFill="1" applyBorder="1" applyAlignment="1">
      <alignment horizontal="center"/>
    </xf>
    <xf numFmtId="165" fontId="5" fillId="5" borderId="36" xfId="1" applyNumberFormat="1" applyFont="1" applyFill="1" applyBorder="1" applyAlignment="1">
      <alignment horizontal="center"/>
    </xf>
    <xf numFmtId="1" fontId="10" fillId="8" borderId="37" xfId="7" applyNumberFormat="1" applyFont="1" applyBorder="1" applyAlignment="1">
      <alignment horizontal="left" wrapText="1"/>
    </xf>
    <xf numFmtId="1" fontId="10" fillId="8" borderId="39" xfId="7" applyNumberFormat="1" applyFont="1" applyBorder="1" applyAlignment="1">
      <alignment horizontal="left" wrapText="1"/>
    </xf>
    <xf numFmtId="3" fontId="4" fillId="6" borderId="0" xfId="0" applyNumberFormat="1" applyFont="1" applyFill="1" applyAlignment="1">
      <alignment horizontal="left"/>
    </xf>
    <xf numFmtId="1" fontId="2" fillId="2" borderId="40" xfId="4" applyNumberFormat="1" applyBorder="1" applyAlignment="1">
      <alignment horizontal="left" wrapText="1"/>
    </xf>
    <xf numFmtId="0" fontId="2" fillId="2" borderId="17" xfId="4" applyBorder="1"/>
    <xf numFmtId="0" fontId="2" fillId="2" borderId="18" xfId="4" applyBorder="1"/>
    <xf numFmtId="3" fontId="2" fillId="2" borderId="41" xfId="4" applyNumberFormat="1" applyBorder="1" applyAlignment="1">
      <alignment horizontal="left" wrapText="1" indent="1"/>
    </xf>
    <xf numFmtId="0" fontId="2" fillId="2" borderId="42" xfId="4" applyBorder="1"/>
    <xf numFmtId="0" fontId="2" fillId="2" borderId="31" xfId="4" applyBorder="1"/>
    <xf numFmtId="1" fontId="6" fillId="6" borderId="19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9" fontId="5" fillId="5" borderId="5" xfId="3" applyFont="1" applyFill="1" applyBorder="1" applyAlignment="1">
      <alignment horizontal="center" vertical="center"/>
    </xf>
    <xf numFmtId="10" fontId="6" fillId="6" borderId="0" xfId="0" applyNumberFormat="1" applyFont="1" applyFill="1" applyAlignment="1">
      <alignment horizontal="center" vertical="center"/>
    </xf>
    <xf numFmtId="10" fontId="6" fillId="6" borderId="20" xfId="0" applyNumberFormat="1" applyFont="1" applyFill="1" applyBorder="1" applyAlignment="1">
      <alignment horizontal="center" vertical="center"/>
    </xf>
    <xf numFmtId="168" fontId="5" fillId="5" borderId="9" xfId="1" applyNumberFormat="1" applyFont="1" applyFill="1" applyBorder="1"/>
    <xf numFmtId="10" fontId="6" fillId="6" borderId="43" xfId="0" applyNumberFormat="1" applyFont="1" applyFill="1" applyBorder="1" applyAlignment="1">
      <alignment horizontal="center"/>
    </xf>
    <xf numFmtId="1" fontId="10" fillId="8" borderId="19" xfId="7" applyNumberFormat="1" applyFont="1" applyBorder="1" applyAlignment="1">
      <alignment horizontal="left" wrapText="1"/>
    </xf>
    <xf numFmtId="165" fontId="5" fillId="5" borderId="44" xfId="1" applyNumberFormat="1" applyFont="1" applyFill="1" applyBorder="1" applyAlignment="1">
      <alignment horizontal="center"/>
    </xf>
    <xf numFmtId="165" fontId="5" fillId="5" borderId="45" xfId="1" applyNumberFormat="1" applyFont="1" applyFill="1" applyBorder="1" applyAlignment="1">
      <alignment horizontal="center"/>
    </xf>
    <xf numFmtId="1" fontId="2" fillId="2" borderId="46" xfId="4" applyNumberFormat="1" applyBorder="1" applyAlignment="1">
      <alignment horizontal="left" wrapText="1"/>
    </xf>
    <xf numFmtId="0" fontId="2" fillId="2" borderId="47" xfId="4" applyBorder="1"/>
    <xf numFmtId="3" fontId="4" fillId="6" borderId="15" xfId="0" applyNumberFormat="1" applyFont="1" applyFill="1" applyBorder="1" applyAlignment="1">
      <alignment horizontal="left"/>
    </xf>
    <xf numFmtId="3" fontId="4" fillId="6" borderId="27" xfId="0" applyNumberFormat="1" applyFont="1" applyFill="1" applyBorder="1" applyAlignment="1">
      <alignment horizontal="left"/>
    </xf>
    <xf numFmtId="166" fontId="5" fillId="6" borderId="0" xfId="0" applyNumberFormat="1" applyFont="1" applyFill="1" applyAlignment="1">
      <alignment horizontal="left" wrapText="1" indent="1"/>
    </xf>
    <xf numFmtId="165" fontId="5" fillId="0" borderId="0" xfId="1" applyNumberFormat="1" applyFont="1" applyBorder="1"/>
    <xf numFmtId="165" fontId="5" fillId="0" borderId="0" xfId="1" applyNumberFormat="1" applyFont="1" applyFill="1" applyBorder="1"/>
    <xf numFmtId="165" fontId="5" fillId="0" borderId="20" xfId="1" applyNumberFormat="1" applyFont="1" applyBorder="1"/>
    <xf numFmtId="0" fontId="5" fillId="0" borderId="48" xfId="0" applyFont="1" applyBorder="1"/>
    <xf numFmtId="164" fontId="6" fillId="6" borderId="48" xfId="2" applyNumberFormat="1" applyFont="1" applyFill="1" applyBorder="1" applyAlignment="1">
      <alignment horizontal="center"/>
    </xf>
    <xf numFmtId="0" fontId="6" fillId="0" borderId="49" xfId="0" applyFont="1" applyBorder="1"/>
    <xf numFmtId="164" fontId="6" fillId="6" borderId="50" xfId="2" applyNumberFormat="1" applyFont="1" applyFill="1" applyBorder="1" applyAlignment="1">
      <alignment horizontal="center"/>
    </xf>
    <xf numFmtId="0" fontId="9" fillId="7" borderId="49" xfId="6" applyBorder="1"/>
    <xf numFmtId="3" fontId="9" fillId="7" borderId="48" xfId="6" applyNumberFormat="1" applyBorder="1" applyAlignment="1">
      <alignment horizontal="left" wrapText="1" indent="2"/>
    </xf>
    <xf numFmtId="0" fontId="9" fillId="7" borderId="48" xfId="6" applyBorder="1"/>
    <xf numFmtId="9" fontId="5" fillId="5" borderId="0" xfId="3" applyFont="1" applyFill="1" applyBorder="1" applyAlignment="1">
      <alignment horizontal="center"/>
    </xf>
    <xf numFmtId="44" fontId="5" fillId="5" borderId="0" xfId="2" applyFont="1" applyFill="1" applyBorder="1" applyAlignment="1">
      <alignment horizontal="center"/>
    </xf>
    <xf numFmtId="0" fontId="6" fillId="6" borderId="0" xfId="0" applyFont="1" applyFill="1"/>
    <xf numFmtId="164" fontId="6" fillId="6" borderId="0" xfId="0" applyNumberFormat="1" applyFont="1" applyFill="1"/>
    <xf numFmtId="0" fontId="0" fillId="6" borderId="0" xfId="0" applyFill="1"/>
    <xf numFmtId="3" fontId="6" fillId="6" borderId="49" xfId="0" applyNumberFormat="1" applyFont="1" applyFill="1" applyBorder="1" applyAlignment="1">
      <alignment horizontal="left" wrapText="1" indent="1"/>
    </xf>
    <xf numFmtId="0" fontId="5" fillId="6" borderId="48" xfId="0" applyFont="1" applyFill="1" applyBorder="1"/>
    <xf numFmtId="0" fontId="6" fillId="0" borderId="15" xfId="0" applyFont="1" applyBorder="1"/>
    <xf numFmtId="3" fontId="5" fillId="6" borderId="16" xfId="0" applyNumberFormat="1" applyFont="1" applyFill="1" applyBorder="1" applyAlignment="1">
      <alignment horizontal="left" wrapText="1" indent="2"/>
    </xf>
    <xf numFmtId="164" fontId="6" fillId="6" borderId="16" xfId="2" applyNumberFormat="1" applyFont="1" applyFill="1" applyBorder="1" applyAlignment="1">
      <alignment horizontal="center"/>
    </xf>
    <xf numFmtId="164" fontId="6" fillId="6" borderId="27" xfId="2" applyNumberFormat="1" applyFont="1" applyFill="1" applyBorder="1" applyAlignment="1">
      <alignment horizontal="center"/>
    </xf>
    <xf numFmtId="0" fontId="4" fillId="6" borderId="23" xfId="0" applyFont="1" applyFill="1" applyBorder="1"/>
    <xf numFmtId="0" fontId="11" fillId="6" borderId="24" xfId="0" applyFont="1" applyFill="1" applyBorder="1"/>
    <xf numFmtId="164" fontId="4" fillId="6" borderId="24" xfId="2" applyNumberFormat="1" applyFont="1" applyFill="1" applyBorder="1" applyAlignment="1">
      <alignment horizontal="center"/>
    </xf>
    <xf numFmtId="164" fontId="4" fillId="6" borderId="29" xfId="2" applyNumberFormat="1" applyFont="1" applyFill="1" applyBorder="1" applyAlignment="1">
      <alignment horizontal="center"/>
    </xf>
    <xf numFmtId="0" fontId="4" fillId="0" borderId="23" xfId="0" applyFont="1" applyBorder="1"/>
    <xf numFmtId="3" fontId="11" fillId="6" borderId="24" xfId="0" applyNumberFormat="1" applyFont="1" applyFill="1" applyBorder="1" applyAlignment="1">
      <alignment horizontal="left" wrapText="1" indent="2"/>
    </xf>
    <xf numFmtId="164" fontId="11" fillId="6" borderId="24" xfId="2" applyNumberFormat="1" applyFont="1" applyFill="1" applyBorder="1" applyAlignment="1">
      <alignment horizontal="center"/>
    </xf>
    <xf numFmtId="164" fontId="11" fillId="6" borderId="29" xfId="2" applyNumberFormat="1" applyFont="1" applyFill="1" applyBorder="1" applyAlignment="1">
      <alignment horizontal="center"/>
    </xf>
    <xf numFmtId="1" fontId="10" fillId="8" borderId="0" xfId="7" applyNumberFormat="1" applyFont="1" applyBorder="1" applyAlignment="1">
      <alignment horizontal="left" wrapText="1"/>
    </xf>
    <xf numFmtId="0" fontId="4" fillId="0" borderId="15" xfId="0" applyFont="1" applyBorder="1"/>
    <xf numFmtId="3" fontId="11" fillId="6" borderId="16" xfId="0" applyNumberFormat="1" applyFont="1" applyFill="1" applyBorder="1" applyAlignment="1">
      <alignment horizontal="left" wrapText="1" indent="2"/>
    </xf>
    <xf numFmtId="0" fontId="11" fillId="6" borderId="16" xfId="0" applyFont="1" applyFill="1" applyBorder="1"/>
    <xf numFmtId="164" fontId="11" fillId="6" borderId="16" xfId="2" applyNumberFormat="1" applyFont="1" applyFill="1" applyBorder="1" applyAlignment="1">
      <alignment horizontal="center"/>
    </xf>
    <xf numFmtId="164" fontId="11" fillId="6" borderId="27" xfId="2" applyNumberFormat="1" applyFont="1" applyFill="1" applyBorder="1" applyAlignment="1">
      <alignment horizontal="center"/>
    </xf>
    <xf numFmtId="164" fontId="2" fillId="2" borderId="0" xfId="4" applyNumberFormat="1" applyBorder="1" applyAlignment="1">
      <alignment horizontal="center"/>
    </xf>
    <xf numFmtId="164" fontId="2" fillId="2" borderId="20" xfId="4" applyNumberFormat="1" applyBorder="1" applyAlignment="1">
      <alignment horizontal="center"/>
    </xf>
    <xf numFmtId="164" fontId="9" fillId="7" borderId="48" xfId="6" applyNumberFormat="1" applyBorder="1" applyAlignment="1">
      <alignment horizontal="center"/>
    </xf>
    <xf numFmtId="164" fontId="9" fillId="7" borderId="50" xfId="6" applyNumberFormat="1" applyBorder="1" applyAlignment="1">
      <alignment horizontal="center"/>
    </xf>
    <xf numFmtId="168" fontId="3" fillId="3" borderId="5" xfId="5" applyNumberFormat="1" applyBorder="1"/>
    <xf numFmtId="168" fontId="3" fillId="3" borderId="28" xfId="5" applyNumberFormat="1" applyBorder="1"/>
    <xf numFmtId="164" fontId="12" fillId="6" borderId="48" xfId="2" applyNumberFormat="1" applyFont="1" applyFill="1" applyBorder="1" applyAlignment="1">
      <alignment horizontal="center"/>
    </xf>
    <xf numFmtId="164" fontId="12" fillId="6" borderId="50" xfId="2" applyNumberFormat="1" applyFont="1" applyFill="1" applyBorder="1" applyAlignment="1">
      <alignment horizontal="center"/>
    </xf>
    <xf numFmtId="164" fontId="14" fillId="6" borderId="24" xfId="2" applyNumberFormat="1" applyFont="1" applyFill="1" applyBorder="1" applyAlignment="1">
      <alignment horizontal="center"/>
    </xf>
    <xf numFmtId="164" fontId="14" fillId="6" borderId="29" xfId="2" applyNumberFormat="1" applyFont="1" applyFill="1" applyBorder="1" applyAlignment="1">
      <alignment horizontal="center"/>
    </xf>
    <xf numFmtId="165" fontId="13" fillId="9" borderId="38" xfId="8" applyNumberFormat="1" applyBorder="1" applyAlignment="1">
      <alignment horizontal="center"/>
    </xf>
    <xf numFmtId="165" fontId="13" fillId="9" borderId="9" xfId="8" applyNumberFormat="1" applyBorder="1" applyAlignment="1">
      <alignment horizontal="center"/>
    </xf>
    <xf numFmtId="3" fontId="7" fillId="2" borderId="19" xfId="4" applyNumberFormat="1" applyFont="1" applyBorder="1" applyAlignment="1">
      <alignment horizontal="left" wrapText="1" indent="1"/>
    </xf>
    <xf numFmtId="44" fontId="0" fillId="0" borderId="0" xfId="0" applyNumberFormat="1"/>
    <xf numFmtId="44" fontId="1" fillId="0" borderId="0" xfId="2" applyFont="1"/>
    <xf numFmtId="0" fontId="0" fillId="0" borderId="0" xfId="0" quotePrefix="1" applyAlignment="1">
      <alignment horizontal="right"/>
    </xf>
    <xf numFmtId="2" fontId="0" fillId="0" borderId="0" xfId="0" applyNumberFormat="1"/>
    <xf numFmtId="0" fontId="0" fillId="0" borderId="48" xfId="0" applyBorder="1"/>
    <xf numFmtId="44" fontId="0" fillId="0" borderId="48" xfId="0" applyNumberFormat="1" applyBorder="1"/>
    <xf numFmtId="0" fontId="15" fillId="0" borderId="0" xfId="0" applyFont="1"/>
    <xf numFmtId="0" fontId="0" fillId="0" borderId="4" xfId="0" applyBorder="1"/>
    <xf numFmtId="44" fontId="0" fillId="0" borderId="4" xfId="0" applyNumberFormat="1" applyBorder="1"/>
    <xf numFmtId="44" fontId="0" fillId="0" borderId="4" xfId="2" applyFont="1" applyBorder="1"/>
    <xf numFmtId="0" fontId="0" fillId="0" borderId="3" xfId="0" applyBorder="1"/>
    <xf numFmtId="1" fontId="0" fillId="0" borderId="0" xfId="0" applyNumberFormat="1"/>
    <xf numFmtId="44" fontId="0" fillId="0" borderId="3" xfId="2" applyFont="1" applyBorder="1"/>
    <xf numFmtId="0" fontId="0" fillId="11" borderId="3" xfId="0" applyFill="1" applyBorder="1"/>
    <xf numFmtId="44" fontId="0" fillId="0" borderId="3" xfId="0" applyNumberFormat="1" applyBorder="1"/>
    <xf numFmtId="0" fontId="0" fillId="0" borderId="0" xfId="0" applyAlignment="1">
      <alignment horizontal="center"/>
    </xf>
    <xf numFmtId="0" fontId="0" fillId="0" borderId="6" xfId="0" applyBorder="1"/>
    <xf numFmtId="44" fontId="0" fillId="0" borderId="6" xfId="0" applyNumberFormat="1" applyBorder="1"/>
    <xf numFmtId="0" fontId="0" fillId="0" borderId="51" xfId="0" applyBorder="1"/>
    <xf numFmtId="44" fontId="0" fillId="0" borderId="51" xfId="2" applyFont="1" applyBorder="1"/>
    <xf numFmtId="0" fontId="17" fillId="0" borderId="0" xfId="0" applyFont="1"/>
    <xf numFmtId="0" fontId="0" fillId="12" borderId="3" xfId="0" applyFill="1" applyBorder="1"/>
    <xf numFmtId="0" fontId="0" fillId="13" borderId="3" xfId="0" applyFill="1" applyBorder="1"/>
    <xf numFmtId="0" fontId="0" fillId="6" borderId="4" xfId="0" applyFill="1" applyBorder="1"/>
    <xf numFmtId="44" fontId="0" fillId="0" borderId="10" xfId="0" applyNumberFormat="1" applyBorder="1"/>
    <xf numFmtId="44" fontId="0" fillId="0" borderId="54" xfId="0" applyNumberFormat="1" applyBorder="1"/>
    <xf numFmtId="0" fontId="0" fillId="13" borderId="1" xfId="0" applyFill="1" applyBorder="1"/>
    <xf numFmtId="0" fontId="0" fillId="13" borderId="42" xfId="0" applyFill="1" applyBorder="1"/>
    <xf numFmtId="0" fontId="0" fillId="13" borderId="2" xfId="0" applyFill="1" applyBorder="1"/>
    <xf numFmtId="1" fontId="0" fillId="0" borderId="53" xfId="0" applyNumberFormat="1" applyBorder="1"/>
    <xf numFmtId="1" fontId="0" fillId="0" borderId="54" xfId="0" applyNumberFormat="1" applyBorder="1"/>
    <xf numFmtId="0" fontId="0" fillId="0" borderId="53" xfId="0" applyBorder="1"/>
    <xf numFmtId="0" fontId="0" fillId="0" borderId="54" xfId="0" applyBorder="1"/>
    <xf numFmtId="44" fontId="0" fillId="0" borderId="53" xfId="0" applyNumberFormat="1" applyBorder="1"/>
    <xf numFmtId="44" fontId="0" fillId="0" borderId="52" xfId="0" applyNumberFormat="1" applyBorder="1"/>
    <xf numFmtId="44" fontId="0" fillId="0" borderId="57" xfId="0" applyNumberFormat="1" applyBorder="1"/>
    <xf numFmtId="44" fontId="0" fillId="0" borderId="58" xfId="0" applyNumberFormat="1" applyBorder="1"/>
    <xf numFmtId="0" fontId="0" fillId="12" borderId="1" xfId="0" applyFill="1" applyBorder="1"/>
    <xf numFmtId="0" fontId="0" fillId="12" borderId="42" xfId="0" applyFill="1" applyBorder="1"/>
    <xf numFmtId="0" fontId="0" fillId="12" borderId="2" xfId="0" applyFill="1" applyBorder="1"/>
    <xf numFmtId="44" fontId="0" fillId="0" borderId="52" xfId="2" applyFont="1" applyBorder="1"/>
    <xf numFmtId="44" fontId="0" fillId="0" borderId="10" xfId="2" applyFont="1" applyBorder="1"/>
    <xf numFmtId="0" fontId="19" fillId="0" borderId="0" xfId="0" applyFont="1"/>
    <xf numFmtId="44" fontId="0" fillId="10" borderId="3" xfId="2" applyFont="1" applyFill="1" applyBorder="1" applyProtection="1">
      <protection locked="0"/>
    </xf>
    <xf numFmtId="44" fontId="18" fillId="10" borderId="3" xfId="0" applyNumberFormat="1" applyFont="1" applyFill="1" applyBorder="1" applyProtection="1">
      <protection locked="0"/>
    </xf>
    <xf numFmtId="44" fontId="18" fillId="10" borderId="3" xfId="2" applyFont="1" applyFill="1" applyBorder="1" applyProtection="1">
      <protection locked="0"/>
    </xf>
    <xf numFmtId="44" fontId="16" fillId="10" borderId="3" xfId="0" applyNumberFormat="1" applyFont="1" applyFill="1" applyBorder="1" applyProtection="1">
      <protection locked="0"/>
    </xf>
    <xf numFmtId="44" fontId="16" fillId="10" borderId="3" xfId="2" applyFont="1" applyFill="1" applyBorder="1" applyProtection="1">
      <protection locked="0"/>
    </xf>
    <xf numFmtId="44" fontId="0" fillId="10" borderId="3" xfId="0" applyNumberFormat="1" applyFill="1" applyBorder="1" applyProtection="1">
      <protection locked="0"/>
    </xf>
    <xf numFmtId="9" fontId="5" fillId="0" borderId="16" xfId="3" applyFont="1" applyBorder="1"/>
    <xf numFmtId="9" fontId="5" fillId="0" borderId="27" xfId="3" applyFont="1" applyBorder="1"/>
    <xf numFmtId="168" fontId="5" fillId="5" borderId="3" xfId="1" applyNumberFormat="1" applyFont="1" applyFill="1" applyBorder="1" applyAlignment="1">
      <alignment horizontal="center"/>
    </xf>
    <xf numFmtId="0" fontId="15" fillId="6" borderId="0" xfId="0" applyFont="1" applyFill="1"/>
    <xf numFmtId="0" fontId="27" fillId="6" borderId="15" xfId="0" applyFont="1" applyFill="1" applyBorder="1" applyAlignment="1">
      <alignment horizontal="center"/>
    </xf>
    <xf numFmtId="0" fontId="28" fillId="6" borderId="43" xfId="0" applyFont="1" applyFill="1" applyBorder="1" applyAlignment="1">
      <alignment horizontal="center"/>
    </xf>
    <xf numFmtId="0" fontId="29" fillId="6" borderId="55" xfId="0" applyFont="1" applyFill="1" applyBorder="1" applyAlignment="1">
      <alignment horizontal="center"/>
    </xf>
    <xf numFmtId="0" fontId="30" fillId="6" borderId="56" xfId="0" applyFont="1" applyFill="1" applyBorder="1" applyAlignment="1">
      <alignment horizontal="center"/>
    </xf>
    <xf numFmtId="44" fontId="31" fillId="6" borderId="3" xfId="0" applyNumberFormat="1" applyFont="1" applyFill="1" applyBorder="1"/>
    <xf numFmtId="44" fontId="32" fillId="6" borderId="22" xfId="0" applyNumberFormat="1" applyFont="1" applyFill="1" applyBorder="1"/>
    <xf numFmtId="0" fontId="30" fillId="6" borderId="59" xfId="0" applyFont="1" applyFill="1" applyBorder="1" applyAlignment="1">
      <alignment horizontal="center"/>
    </xf>
    <xf numFmtId="44" fontId="31" fillId="6" borderId="51" xfId="0" applyNumberFormat="1" applyFont="1" applyFill="1" applyBorder="1"/>
    <xf numFmtId="44" fontId="32" fillId="6" borderId="60" xfId="2" applyFont="1" applyFill="1" applyBorder="1"/>
    <xf numFmtId="0" fontId="27" fillId="6" borderId="61" xfId="0" applyFont="1" applyFill="1" applyBorder="1" applyAlignment="1">
      <alignment horizontal="center"/>
    </xf>
    <xf numFmtId="1" fontId="28" fillId="6" borderId="44" xfId="0" applyNumberFormat="1" applyFont="1" applyFill="1" applyBorder="1" applyAlignment="1">
      <alignment horizontal="center"/>
    </xf>
    <xf numFmtId="0" fontId="29" fillId="6" borderId="45" xfId="0" applyFont="1" applyFill="1" applyBorder="1" applyAlignment="1">
      <alignment horizontal="center"/>
    </xf>
    <xf numFmtId="0" fontId="19" fillId="6" borderId="0" xfId="0" applyFont="1" applyFill="1"/>
    <xf numFmtId="1" fontId="20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0" fontId="0" fillId="6" borderId="3" xfId="0" applyFill="1" applyBorder="1"/>
    <xf numFmtId="44" fontId="0" fillId="6" borderId="3" xfId="0" applyNumberFormat="1" applyFill="1" applyBorder="1"/>
    <xf numFmtId="0" fontId="22" fillId="6" borderId="0" xfId="0" applyFont="1" applyFill="1"/>
    <xf numFmtId="0" fontId="21" fillId="6" borderId="0" xfId="0" applyFont="1" applyFill="1"/>
    <xf numFmtId="1" fontId="0" fillId="6" borderId="0" xfId="0" applyNumberFormat="1" applyFill="1"/>
    <xf numFmtId="44" fontId="0" fillId="6" borderId="0" xfId="0" applyNumberFormat="1" applyFill="1"/>
    <xf numFmtId="44" fontId="0" fillId="6" borderId="0" xfId="2" applyFont="1" applyFill="1" applyBorder="1"/>
    <xf numFmtId="0" fontId="0" fillId="14" borderId="3" xfId="0" applyFill="1" applyBorder="1"/>
    <xf numFmtId="0" fontId="18" fillId="14" borderId="3" xfId="0" applyFont="1" applyFill="1" applyBorder="1"/>
    <xf numFmtId="0" fontId="16" fillId="14" borderId="3" xfId="0" applyFont="1" applyFill="1" applyBorder="1"/>
    <xf numFmtId="1" fontId="0" fillId="6" borderId="3" xfId="0" applyNumberFormat="1" applyFill="1" applyBorder="1"/>
    <xf numFmtId="44" fontId="0" fillId="6" borderId="3" xfId="2" applyFont="1" applyFill="1" applyBorder="1"/>
    <xf numFmtId="43" fontId="0" fillId="6" borderId="3" xfId="1" applyFont="1" applyFill="1" applyBorder="1"/>
    <xf numFmtId="0" fontId="16" fillId="14" borderId="33" xfId="0" applyFont="1" applyFill="1" applyBorder="1"/>
    <xf numFmtId="44" fontId="0" fillId="6" borderId="33" xfId="0" applyNumberFormat="1" applyFill="1" applyBorder="1"/>
    <xf numFmtId="0" fontId="25" fillId="14" borderId="62" xfId="0" applyFont="1" applyFill="1" applyBorder="1"/>
    <xf numFmtId="44" fontId="0" fillId="0" borderId="43" xfId="0" applyNumberFormat="1" applyBorder="1"/>
    <xf numFmtId="44" fontId="0" fillId="0" borderId="55" xfId="0" applyNumberFormat="1" applyBorder="1"/>
    <xf numFmtId="0" fontId="25" fillId="14" borderId="63" xfId="0" applyFont="1" applyFill="1" applyBorder="1"/>
    <xf numFmtId="44" fontId="0" fillId="0" borderId="25" xfId="0" applyNumberFormat="1" applyBorder="1"/>
    <xf numFmtId="44" fontId="0" fillId="0" borderId="26" xfId="0" applyNumberFormat="1" applyBorder="1"/>
    <xf numFmtId="0" fontId="26" fillId="14" borderId="62" xfId="0" applyFont="1" applyFill="1" applyBorder="1"/>
    <xf numFmtId="0" fontId="26" fillId="14" borderId="63" xfId="0" applyFont="1" applyFill="1" applyBorder="1"/>
    <xf numFmtId="0" fontId="33" fillId="6" borderId="0" xfId="0" applyFont="1" applyFill="1"/>
    <xf numFmtId="0" fontId="0" fillId="10" borderId="3" xfId="0" applyFill="1" applyBorder="1"/>
    <xf numFmtId="44" fontId="0" fillId="10" borderId="3" xfId="0" applyNumberFormat="1" applyFill="1" applyBorder="1"/>
    <xf numFmtId="0" fontId="33" fillId="14" borderId="3" xfId="0" applyFont="1" applyFill="1" applyBorder="1"/>
    <xf numFmtId="44" fontId="5" fillId="6" borderId="0" xfId="2" applyFont="1" applyFill="1" applyAlignment="1">
      <alignment horizontal="center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4" fontId="5" fillId="5" borderId="1" xfId="2" applyFont="1" applyFill="1" applyBorder="1" applyAlignment="1">
      <alignment horizontal="left" vertical="top"/>
    </xf>
    <xf numFmtId="44" fontId="5" fillId="5" borderId="2" xfId="2" applyFont="1" applyFill="1" applyBorder="1" applyAlignment="1">
      <alignment horizontal="left" vertical="top"/>
    </xf>
    <xf numFmtId="9" fontId="5" fillId="5" borderId="1" xfId="2" applyNumberFormat="1" applyFont="1" applyFill="1" applyBorder="1" applyAlignment="1">
      <alignment horizontal="left" vertical="top"/>
    </xf>
    <xf numFmtId="9" fontId="5" fillId="5" borderId="2" xfId="2" applyNumberFormat="1" applyFont="1" applyFill="1" applyBorder="1" applyAlignment="1">
      <alignment horizontal="left" vertical="top"/>
    </xf>
    <xf numFmtId="10" fontId="8" fillId="3" borderId="13" xfId="5" applyNumberFormat="1" applyFont="1" applyBorder="1" applyAlignment="1">
      <alignment horizontal="center" vertical="top" wrapText="1"/>
    </xf>
    <xf numFmtId="10" fontId="8" fillId="3" borderId="14" xfId="5" applyNumberFormat="1" applyFont="1" applyBorder="1" applyAlignment="1">
      <alignment horizontal="center" vertical="top" wrapText="1"/>
    </xf>
  </cellXfs>
  <cellStyles count="9">
    <cellStyle name="Accent6" xfId="8" builtinId="49"/>
    <cellStyle name="Bad" xfId="6" builtinId="27"/>
    <cellStyle name="Comma" xfId="1" builtinId="3"/>
    <cellStyle name="Currency" xfId="2" builtinId="4"/>
    <cellStyle name="Good" xfId="4" builtinId="26"/>
    <cellStyle name="Neutral" xfId="5" builtinId="28"/>
    <cellStyle name="Normal" xfId="0" builtinId="0"/>
    <cellStyle name="Note" xfId="7" builtinId="10"/>
    <cellStyle name="Percent" xfId="3" builtinId="5"/>
  </cellStyles>
  <dxfs count="12">
    <dxf>
      <fill>
        <patternFill patternType="lightUp"/>
      </fill>
    </dxf>
    <dxf>
      <fill>
        <patternFill patternType="lightUp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92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sng" strike="noStrike" kern="1200" spc="0" baseline="0">
                <a:solidFill>
                  <a:srgbClr val="FF0000"/>
                </a:solidFill>
              </a:rPr>
              <a:t>No Grant</a:t>
            </a:r>
            <a:r>
              <a:rPr lang="en-US" sz="1400" b="1" i="0" u="none" strike="noStrike" kern="1200" spc="0" baseline="0">
                <a:solidFill>
                  <a:srgbClr val="FF0000"/>
                </a:solidFill>
              </a:rPr>
              <a:t>:  </a:t>
            </a:r>
            <a:r>
              <a:rPr lang="en-US" sz="1400" b="1" i="0" u="none" strike="noStrike" kern="1200" spc="0" baseline="0">
                <a:solidFill>
                  <a:srgbClr val="FF2929"/>
                </a:solidFill>
              </a:rPr>
              <a:t>Sum of Post-Rebate Purchase Balance and Energy-Related Net Income/Loss Over Time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478373068019709E-2"/>
          <c:y val="6.7755004923717208E-2"/>
          <c:w val="0.91965041733679553"/>
          <c:h val="0.8564754763687236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1.9491489846820313E-2"/>
                  <c:y val="9.31271800188736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AE-4096-855B-C99BB27137C9}"/>
                </c:ext>
              </c:extLst>
            </c:dLbl>
            <c:dLbl>
              <c:idx val="20"/>
              <c:layout>
                <c:manualLayout>
                  <c:x val="-2.6336948577197154E-3"/>
                  <c:y val="-1.8623419589428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AE-4096-855B-C99BB27137C9}"/>
                </c:ext>
              </c:extLst>
            </c:dLbl>
            <c:dLbl>
              <c:idx val="24"/>
              <c:layout>
                <c:manualLayout>
                  <c:x val="-5.3683101045897573E-3"/>
                  <c:y val="-4.6560840353511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3E-4F50-94AD-4A174B34AD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'Grant vs No Grant Summary'!$B$33:$Z$33</c:f>
              <c:numCache>
                <c:formatCode>General</c:formatCode>
                <c:ptCount val="2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</c:numCache>
            </c:numRef>
          </c:cat>
          <c:val>
            <c:numRef>
              <c:f>'Grant vs No Grant Summary'!$B$48:$Z$48</c:f>
              <c:numCache>
                <c:formatCode>_("$"* #,##0.00_);_("$"* \(#,##0.00\);_("$"* "-"??_);_(@_)</c:formatCode>
                <c:ptCount val="25"/>
                <c:pt idx="0">
                  <c:v>-707452.12809999997</c:v>
                </c:pt>
                <c:pt idx="1">
                  <c:v>-711457.32279999997</c:v>
                </c:pt>
                <c:pt idx="2">
                  <c:v>-712580.78409999993</c:v>
                </c:pt>
                <c:pt idx="3">
                  <c:v>-710822.51199999999</c:v>
                </c:pt>
                <c:pt idx="4">
                  <c:v>-706182.50650000002</c:v>
                </c:pt>
                <c:pt idx="5">
                  <c:v>-698660.76760000002</c:v>
                </c:pt>
                <c:pt idx="6">
                  <c:v>-688257.2953</c:v>
                </c:pt>
                <c:pt idx="7">
                  <c:v>-674972.08959999995</c:v>
                </c:pt>
                <c:pt idx="8">
                  <c:v>-658805.15049999999</c:v>
                </c:pt>
                <c:pt idx="9">
                  <c:v>-639756.478</c:v>
                </c:pt>
                <c:pt idx="10">
                  <c:v>-617826.07209999999</c:v>
                </c:pt>
                <c:pt idx="11">
                  <c:v>-593013.93279999995</c:v>
                </c:pt>
                <c:pt idx="12">
                  <c:v>-565320.06009999989</c:v>
                </c:pt>
                <c:pt idx="13">
                  <c:v>-534744.45399999991</c:v>
                </c:pt>
                <c:pt idx="14">
                  <c:v>-501287.11449999991</c:v>
                </c:pt>
                <c:pt idx="15">
                  <c:v>-464948.04159999994</c:v>
                </c:pt>
                <c:pt idx="16">
                  <c:v>-425727.23529999994</c:v>
                </c:pt>
                <c:pt idx="17">
                  <c:v>-383624.69559999998</c:v>
                </c:pt>
                <c:pt idx="18">
                  <c:v>-336577.77099999995</c:v>
                </c:pt>
                <c:pt idx="19">
                  <c:v>-284586.46149999992</c:v>
                </c:pt>
                <c:pt idx="20">
                  <c:v>-227650.76709999985</c:v>
                </c:pt>
                <c:pt idx="21">
                  <c:v>-165770.68779999984</c:v>
                </c:pt>
                <c:pt idx="22">
                  <c:v>-98946.223599999823</c:v>
                </c:pt>
                <c:pt idx="23">
                  <c:v>-27177.374499999714</c:v>
                </c:pt>
                <c:pt idx="24">
                  <c:v>49535.859500000224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E-4096-855B-C99BB2713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19664"/>
        <c:axId val="1966950880"/>
      </c:barChart>
      <c:catAx>
        <c:axId val="140819664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950880"/>
        <c:crosses val="autoZero"/>
        <c:auto val="1"/>
        <c:lblAlgn val="ctr"/>
        <c:lblOffset val="100"/>
        <c:tickMarkSkip val="1"/>
        <c:noMultiLvlLbl val="0"/>
      </c:catAx>
      <c:valAx>
        <c:axId val="1966950880"/>
        <c:scaling>
          <c:orientation val="minMax"/>
          <c:max val="800000"/>
          <c:min val="-800000"/>
        </c:scaling>
        <c:delete val="0"/>
        <c:axPos val="l"/>
        <c:numFmt formatCode="_(&quot;$&quot;* #,##0_);_(&quot;$&quot;* \(#,##0\);_(&quot;$&quot;* &quot;-&quot;_);_(@_)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19664"/>
        <c:crosses val="autoZero"/>
        <c:crossBetween val="between"/>
        <c:majorUnit val="10000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yearly Rev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'Level 3 Chargers'!$F$98:$O$98</c:f>
              <c:numCache>
                <c:formatCode>0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'Level 3 Chargers'!$F$101:$O$101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-9952.8549999999996</c:v>
                </c:pt>
                <c:pt idx="2">
                  <c:v>-13652.175624999998</c:v>
                </c:pt>
                <c:pt idx="3">
                  <c:v>-17351.49625</c:v>
                </c:pt>
                <c:pt idx="4">
                  <c:v>-21050.816875000004</c:v>
                </c:pt>
                <c:pt idx="5">
                  <c:v>-24750.137499999997</c:v>
                </c:pt>
                <c:pt idx="6">
                  <c:v>-28449.458125000005</c:v>
                </c:pt>
                <c:pt idx="7">
                  <c:v>-32148.778750000001</c:v>
                </c:pt>
                <c:pt idx="8">
                  <c:v>-35848.099374999998</c:v>
                </c:pt>
                <c:pt idx="9">
                  <c:v>-39547.42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0-4743-B84E-BAEE4CDA65FA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'Level 3 Chargers'!$F$98:$O$98</c:f>
              <c:numCache>
                <c:formatCode>0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'Level 3 Chargers'!$A$101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0-4743-B84E-BAEE4CDA65F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37620816"/>
        <c:axId val="1637618416"/>
      </c:lineChart>
      <c:catAx>
        <c:axId val="163762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618416"/>
        <c:crosses val="autoZero"/>
        <c:auto val="1"/>
        <c:lblAlgn val="ctr"/>
        <c:lblOffset val="100"/>
        <c:noMultiLvlLbl val="0"/>
      </c:catAx>
      <c:valAx>
        <c:axId val="1637618416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62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 baseline="0">
                <a:solidFill>
                  <a:schemeClr val="accent1"/>
                </a:solidFill>
              </a:rPr>
              <a:t>With Grant: </a:t>
            </a:r>
            <a:r>
              <a:rPr lang="en-US" b="1" u="none" baseline="0">
                <a:solidFill>
                  <a:schemeClr val="accent1"/>
                </a:solidFill>
              </a:rPr>
              <a:t> Sum of Post-Rebate Purchase Balance and Energy-Related Net Income/Loss Over Time</a:t>
            </a:r>
          </a:p>
        </c:rich>
      </c:tx>
      <c:layout>
        <c:manualLayout>
          <c:xMode val="edge"/>
          <c:yMode val="edge"/>
          <c:x val="0.31968230458642111"/>
          <c:y val="9.292406987670549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863412107223514E-2"/>
          <c:y val="6.0609724577081157E-2"/>
          <c:w val="0.91732026088986174"/>
          <c:h val="0.86580922871375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3.0052125427748891E-2"/>
                  <c:y val="-4.6460205724378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78C-4243-8514-A5797B84C8E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78C-4243-8514-A5797B84C8E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78C-4243-8514-A5797B84C8E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78C-4243-8514-A5797B84C8E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78C-4243-8514-A5797B84C8E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78C-4243-8514-A5797B84C8E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78C-4243-8514-A5797B84C8E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78C-4243-8514-A5797B84C8E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78C-4243-8514-A5797B84C8E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78C-4243-8514-A5797B84C8E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78C-4243-8514-A5797B84C8E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78C-4243-8514-A5797B84C8E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78C-4243-8514-A5797B84C8E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78C-4243-8514-A5797B84C8E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78C-4243-8514-A5797B84C8E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8C-4243-8514-A5797B84C8E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78C-4243-8514-A5797B84C8E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78C-4243-8514-A5797B84C8E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78C-4243-8514-A5797B84C8E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8C-4243-8514-A5797B84C8E0}"/>
                </c:ext>
              </c:extLst>
            </c:dLbl>
            <c:dLbl>
              <c:idx val="20"/>
              <c:layout>
                <c:manualLayout>
                  <c:x val="-5.4929977289933209E-3"/>
                  <c:y val="9.68806597023612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78C-4243-8514-A5797B84C8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'Grant vs No Grant Summary'!$B$33:$V$33</c:f>
              <c:numCache>
                <c:formatCode>General</c:formatCode>
                <c:ptCount val="2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</c:numCache>
            </c:numRef>
          </c:cat>
          <c:val>
            <c:numRef>
              <c:f>'Grant vs No Grant Summary'!$B$46:$V$46</c:f>
              <c:numCache>
                <c:formatCode>_("$"* #,##0.00_);_("$"* \(#,##0.00\);_("$"* "-"??_);_(@_)</c:formatCode>
                <c:ptCount val="21"/>
                <c:pt idx="0">
                  <c:v>-180223.24994999994</c:v>
                </c:pt>
                <c:pt idx="1">
                  <c:v>-228418.88469374995</c:v>
                </c:pt>
                <c:pt idx="2">
                  <c:v>-285784.72423124994</c:v>
                </c:pt>
                <c:pt idx="3">
                  <c:v>-284026.45213124994</c:v>
                </c:pt>
                <c:pt idx="4">
                  <c:v>-279386.44663124997</c:v>
                </c:pt>
                <c:pt idx="5">
                  <c:v>-271864.70773124998</c:v>
                </c:pt>
                <c:pt idx="6">
                  <c:v>-261461.23543124995</c:v>
                </c:pt>
                <c:pt idx="7">
                  <c:v>-248176.02973124996</c:v>
                </c:pt>
                <c:pt idx="8">
                  <c:v>-232009.09063124994</c:v>
                </c:pt>
                <c:pt idx="9">
                  <c:v>-212960.41813124996</c:v>
                </c:pt>
                <c:pt idx="10">
                  <c:v>-191030.01223124994</c:v>
                </c:pt>
                <c:pt idx="11">
                  <c:v>-166217.87293124993</c:v>
                </c:pt>
                <c:pt idx="12">
                  <c:v>-138524.00023124993</c:v>
                </c:pt>
                <c:pt idx="13">
                  <c:v>-107948.39413124995</c:v>
                </c:pt>
                <c:pt idx="14">
                  <c:v>-74491.054631249979</c:v>
                </c:pt>
                <c:pt idx="15">
                  <c:v>-38151.981731250009</c:v>
                </c:pt>
                <c:pt idx="16">
                  <c:v>1068.8245687499875</c:v>
                </c:pt>
                <c:pt idx="17">
                  <c:v>43171.364268749981</c:v>
                </c:pt>
                <c:pt idx="18">
                  <c:v>90218.288868750009</c:v>
                </c:pt>
                <c:pt idx="19">
                  <c:v>142209.59836875004</c:v>
                </c:pt>
                <c:pt idx="20">
                  <c:v>199145.29276875011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8C-4243-8514-A5797B84C8E0}"/>
            </c:ext>
          </c:extLst>
        </c:ser>
        <c:ser>
          <c:idx val="0"/>
          <c:order val="1"/>
          <c:tx>
            <c:strRef>
              <c:f>'Grant vs No Grant Summary'!$B$33:$V$33</c:f>
              <c:strCache>
                <c:ptCount val="2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</c:strCache>
            </c:strRef>
          </c:tx>
          <c:invertIfNegative val="0"/>
          <c:val>
            <c:numRef>
              <c:f>'Grant vs No Grant Summary'!$B$76:$V$76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23-E78C-4243-8514-A5797B84C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19664"/>
        <c:axId val="1966950880"/>
      </c:barChart>
      <c:catAx>
        <c:axId val="140819664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950880"/>
        <c:crossesAt val="0"/>
        <c:auto val="1"/>
        <c:lblAlgn val="ctr"/>
        <c:lblOffset val="100"/>
        <c:tickMarkSkip val="1"/>
        <c:noMultiLvlLbl val="0"/>
      </c:catAx>
      <c:valAx>
        <c:axId val="1966950880"/>
        <c:scaling>
          <c:orientation val="minMax"/>
          <c:max val="800000"/>
          <c:min val="-800000"/>
        </c:scaling>
        <c:delete val="0"/>
        <c:axPos val="l"/>
        <c:numFmt formatCode="_(&quot;$&quot;* #,##0_);_(&quot;$&quot;* \(#,##0\);_(&quot;$&quot;* &quot;-&quot;_);_(@_)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19664"/>
        <c:crosses val="autoZero"/>
        <c:crossBetween val="between"/>
        <c:majorUnit val="100000"/>
        <c:minorUnit val="5000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none" baseline="0">
                <a:solidFill>
                  <a:schemeClr val="tx1"/>
                </a:solidFill>
              </a:rPr>
              <a:t>Sum of Post-Rebate Purchase Balance and Energy-Related Net Income/Loss Over Time</a:t>
            </a:r>
          </a:p>
        </c:rich>
      </c:tx>
      <c:layout>
        <c:manualLayout>
          <c:xMode val="edge"/>
          <c:yMode val="edge"/>
          <c:x val="0.22359851952715809"/>
          <c:y val="9.29240036976154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863412107223514E-2"/>
          <c:y val="6.0609724577081157E-2"/>
          <c:w val="0.9133805087872553"/>
          <c:h val="0.8658092287137571"/>
        </c:manualLayout>
      </c:layout>
      <c:barChart>
        <c:barDir val="col"/>
        <c:grouping val="clustered"/>
        <c:varyColors val="0"/>
        <c:ser>
          <c:idx val="1"/>
          <c:order val="0"/>
          <c:tx>
            <c:v>With Grant</c:v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dPt>
            <c:idx val="17"/>
            <c:invertIfNegative val="0"/>
            <c:bubble3D val="0"/>
            <c:spPr>
              <a:solidFill>
                <a:schemeClr val="accent1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BF4-45E6-9618-94A3EE14E98A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7BF4-45E6-9618-94A3EE14E98A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BF4-45E6-9618-94A3EE14E98A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7BF4-45E6-9618-94A3EE14E98A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7BF4-45E6-9618-94A3EE14E98A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7BF4-45E6-9618-94A3EE14E98A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7BF4-45E6-9618-94A3EE14E98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7BF4-45E6-9618-94A3EE14E98A}"/>
              </c:ext>
            </c:extLst>
          </c:dPt>
          <c:dLbls>
            <c:dLbl>
              <c:idx val="0"/>
              <c:layout>
                <c:manualLayout>
                  <c:x val="4.8486188405814798E-2"/>
                  <c:y val="0.230529476851261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F4-45E6-9618-94A3EE14E98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F4-45E6-9618-94A3EE14E98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F4-45E6-9618-94A3EE14E98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F4-45E6-9618-94A3EE14E98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F4-45E6-9618-94A3EE14E98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F4-45E6-9618-94A3EE14E98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F4-45E6-9618-94A3EE14E98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F4-45E6-9618-94A3EE14E98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F4-45E6-9618-94A3EE14E98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F4-45E6-9618-94A3EE14E98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F4-45E6-9618-94A3EE14E98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F4-45E6-9618-94A3EE14E98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F4-45E6-9618-94A3EE14E98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F4-45E6-9618-94A3EE14E98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BF4-45E6-9618-94A3EE14E98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F4-45E6-9618-94A3EE14E98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BF4-45E6-9618-94A3EE14E98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BF4-45E6-9618-94A3EE14E98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BF4-45E6-9618-94A3EE14E98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BF4-45E6-9618-94A3EE14E98A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BF4-45E6-9618-94A3EE14E98A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BF4-45E6-9618-94A3EE14E98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BF4-45E6-9618-94A3EE14E98A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BF4-45E6-9618-94A3EE14E98A}"/>
                </c:ext>
              </c:extLst>
            </c:dLbl>
            <c:dLbl>
              <c:idx val="24"/>
              <c:layout>
                <c:manualLayout>
                  <c:x val="-5.1421434831448315E-2"/>
                  <c:y val="-5.2186383463080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BF4-45E6-9618-94A3EE14E9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'Grant vs No Grant Summary'!$B$33:$Z$33</c:f>
              <c:numCache>
                <c:formatCode>General</c:formatCode>
                <c:ptCount val="2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</c:numCache>
            </c:numRef>
          </c:cat>
          <c:val>
            <c:numRef>
              <c:f>'Grant vs No Grant Summary'!$B$46:$Z$46</c:f>
              <c:numCache>
                <c:formatCode>_("$"* #,##0.00_);_("$"* \(#,##0.00\);_("$"* "-"??_);_(@_)</c:formatCode>
                <c:ptCount val="25"/>
                <c:pt idx="0">
                  <c:v>-180223.24994999994</c:v>
                </c:pt>
                <c:pt idx="1">
                  <c:v>-228418.88469374995</c:v>
                </c:pt>
                <c:pt idx="2">
                  <c:v>-285784.72423124994</c:v>
                </c:pt>
                <c:pt idx="3">
                  <c:v>-284026.45213124994</c:v>
                </c:pt>
                <c:pt idx="4">
                  <c:v>-279386.44663124997</c:v>
                </c:pt>
                <c:pt idx="5">
                  <c:v>-271864.70773124998</c:v>
                </c:pt>
                <c:pt idx="6">
                  <c:v>-261461.23543124995</c:v>
                </c:pt>
                <c:pt idx="7">
                  <c:v>-248176.02973124996</c:v>
                </c:pt>
                <c:pt idx="8">
                  <c:v>-232009.09063124994</c:v>
                </c:pt>
                <c:pt idx="9">
                  <c:v>-212960.41813124996</c:v>
                </c:pt>
                <c:pt idx="10">
                  <c:v>-191030.01223124994</c:v>
                </c:pt>
                <c:pt idx="11">
                  <c:v>-166217.87293124993</c:v>
                </c:pt>
                <c:pt idx="12">
                  <c:v>-138524.00023124993</c:v>
                </c:pt>
                <c:pt idx="13">
                  <c:v>-107948.39413124995</c:v>
                </c:pt>
                <c:pt idx="14">
                  <c:v>-74491.054631249979</c:v>
                </c:pt>
                <c:pt idx="15">
                  <c:v>-38151.981731250009</c:v>
                </c:pt>
                <c:pt idx="16">
                  <c:v>1068.8245687499875</c:v>
                </c:pt>
                <c:pt idx="17">
                  <c:v>43171.364268749981</c:v>
                </c:pt>
                <c:pt idx="18">
                  <c:v>90218.288868750009</c:v>
                </c:pt>
                <c:pt idx="19">
                  <c:v>142209.59836875004</c:v>
                </c:pt>
                <c:pt idx="20">
                  <c:v>199145.29276875011</c:v>
                </c:pt>
                <c:pt idx="21">
                  <c:v>261025.37206875012</c:v>
                </c:pt>
                <c:pt idx="22">
                  <c:v>327849.83626875014</c:v>
                </c:pt>
                <c:pt idx="23">
                  <c:v>399618.68536875024</c:v>
                </c:pt>
                <c:pt idx="24">
                  <c:v>476331.91936875018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BF4-45E6-9618-94A3EE14E98A}"/>
            </c:ext>
          </c:extLst>
        </c:ser>
        <c:ser>
          <c:idx val="0"/>
          <c:order val="1"/>
          <c:tx>
            <c:strRef>
              <c:f>'Grant vs No Grant Summary'!$B$33:$Z$33</c:f>
              <c:strCache>
                <c:ptCount val="2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</c:strCache>
            </c:strRef>
          </c:tx>
          <c:invertIfNegative val="0"/>
          <c:cat>
            <c:numRef>
              <c:f>'Grant vs No Grant Summary'!$B$33:$Z$33</c:f>
              <c:numCache>
                <c:formatCode>General</c:formatCode>
                <c:ptCount val="2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</c:numCache>
            </c:numRef>
          </c:cat>
          <c:val>
            <c:numRef>
              <c:f>'Grant vs No Grant Summary'!$B$76:$Z$76</c:f>
              <c:numCache>
                <c:formatCode>General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16-7BF4-45E6-9618-94A3EE14E98A}"/>
            </c:ext>
          </c:extLst>
        </c:ser>
        <c:ser>
          <c:idx val="2"/>
          <c:order val="2"/>
          <c:tx>
            <c:v>No Grant</c:v>
          </c:tx>
          <c:spPr>
            <a:solidFill>
              <a:srgbClr val="FF0000"/>
            </a:solidFill>
          </c:spPr>
          <c:invertIfNegative val="0"/>
          <c:dPt>
            <c:idx val="2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7BF4-45E6-9618-94A3EE14E98A}"/>
              </c:ext>
            </c:extLst>
          </c:dPt>
          <c:dLbls>
            <c:dLbl>
              <c:idx val="0"/>
              <c:layout>
                <c:manualLayout>
                  <c:x val="5.5302297837595354E-2"/>
                  <c:y val="0.465663430067796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2929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BF4-45E6-9618-94A3EE14E98A}"/>
                </c:ext>
              </c:extLst>
            </c:dLbl>
            <c:dLbl>
              <c:idx val="24"/>
              <c:layout>
                <c:manualLayout>
                  <c:x val="-1.0668730528832167E-2"/>
                  <c:y val="0.240860231368062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2929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BF4-45E6-9618-94A3EE14E98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'Grant vs No Grant Summary'!$B$33:$Z$33</c:f>
              <c:numCache>
                <c:formatCode>General</c:formatCode>
                <c:ptCount val="2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</c:numCache>
            </c:numRef>
          </c:cat>
          <c:val>
            <c:numRef>
              <c:f>'Grant vs No Grant Summary'!$B$48:$Z$48</c:f>
              <c:numCache>
                <c:formatCode>_("$"* #,##0.00_);_("$"* \(#,##0.00\);_("$"* "-"??_);_(@_)</c:formatCode>
                <c:ptCount val="25"/>
                <c:pt idx="0">
                  <c:v>-707452.12809999997</c:v>
                </c:pt>
                <c:pt idx="1">
                  <c:v>-711457.32279999997</c:v>
                </c:pt>
                <c:pt idx="2">
                  <c:v>-712580.78409999993</c:v>
                </c:pt>
                <c:pt idx="3">
                  <c:v>-710822.51199999999</c:v>
                </c:pt>
                <c:pt idx="4">
                  <c:v>-706182.50650000002</c:v>
                </c:pt>
                <c:pt idx="5">
                  <c:v>-698660.76760000002</c:v>
                </c:pt>
                <c:pt idx="6">
                  <c:v>-688257.2953</c:v>
                </c:pt>
                <c:pt idx="7">
                  <c:v>-674972.08959999995</c:v>
                </c:pt>
                <c:pt idx="8">
                  <c:v>-658805.15049999999</c:v>
                </c:pt>
                <c:pt idx="9">
                  <c:v>-639756.478</c:v>
                </c:pt>
                <c:pt idx="10">
                  <c:v>-617826.07209999999</c:v>
                </c:pt>
                <c:pt idx="11">
                  <c:v>-593013.93279999995</c:v>
                </c:pt>
                <c:pt idx="12">
                  <c:v>-565320.06009999989</c:v>
                </c:pt>
                <c:pt idx="13">
                  <c:v>-534744.45399999991</c:v>
                </c:pt>
                <c:pt idx="14">
                  <c:v>-501287.11449999991</c:v>
                </c:pt>
                <c:pt idx="15">
                  <c:v>-464948.04159999994</c:v>
                </c:pt>
                <c:pt idx="16">
                  <c:v>-425727.23529999994</c:v>
                </c:pt>
                <c:pt idx="17">
                  <c:v>-383624.69559999998</c:v>
                </c:pt>
                <c:pt idx="18">
                  <c:v>-336577.77099999995</c:v>
                </c:pt>
                <c:pt idx="19">
                  <c:v>-284586.46149999992</c:v>
                </c:pt>
                <c:pt idx="20">
                  <c:v>-227650.76709999985</c:v>
                </c:pt>
                <c:pt idx="21">
                  <c:v>-165770.68779999984</c:v>
                </c:pt>
                <c:pt idx="22">
                  <c:v>-98946.223599999823</c:v>
                </c:pt>
                <c:pt idx="23">
                  <c:v>-27177.374499999714</c:v>
                </c:pt>
                <c:pt idx="24">
                  <c:v>49535.859500000224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BF4-45E6-9618-94A3EE14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29"/>
        <c:axId val="140819664"/>
        <c:axId val="1966950880"/>
      </c:barChart>
      <c:catAx>
        <c:axId val="14081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alpha val="21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950880"/>
        <c:crossesAt val="0"/>
        <c:auto val="1"/>
        <c:lblAlgn val="ctr"/>
        <c:lblOffset val="100"/>
        <c:noMultiLvlLbl val="0"/>
      </c:catAx>
      <c:valAx>
        <c:axId val="1966950880"/>
        <c:scaling>
          <c:orientation val="minMax"/>
          <c:max val="800000"/>
          <c:min val="-800000"/>
        </c:scaling>
        <c:delete val="0"/>
        <c:axPos val="l"/>
        <c:majorGridlines>
          <c:spPr>
            <a:ln>
              <a:solidFill>
                <a:schemeClr val="tx1">
                  <a:alpha val="16000"/>
                </a:schemeClr>
              </a:solidFill>
            </a:ln>
          </c:spPr>
        </c:majorGridlines>
        <c:numFmt formatCode="_(&quot;$&quot;* #,##0_);_(&quot;$&quot;* \(#,##0\);_(&quot;$&quot;* &quot;-&quot;_);_(@_)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19664"/>
        <c:crosses val="autoZero"/>
        <c:crossBetween val="between"/>
        <c:majorUnit val="100000"/>
        <c:minorUnit val="500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8.6258759521252018E-2"/>
          <c:y val="8.009282285504403E-2"/>
          <c:w val="0.1017507231509143"/>
          <c:h val="0.10170181029222321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energy consumption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'Grant vs No Grant Summary'!$B$33:$Z$33</c:f>
              <c:numCache>
                <c:formatCode>General</c:formatCode>
                <c:ptCount val="2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</c:numCache>
            </c:numRef>
          </c:cat>
          <c:val>
            <c:numRef>
              <c:f>'Grant vs No Grant Summary'!$B$39:$Z$39</c:f>
              <c:numCache>
                <c:formatCode>_(* #,##0.00_);_(* \(#,##0.00\);_(* "-"??_);_(@_)</c:formatCode>
                <c:ptCount val="25"/>
                <c:pt idx="0">
                  <c:v>109310.565</c:v>
                </c:pt>
                <c:pt idx="1">
                  <c:v>149181.020625</c:v>
                </c:pt>
                <c:pt idx="2">
                  <c:v>189051.47625000001</c:v>
                </c:pt>
                <c:pt idx="3">
                  <c:v>228921.93187500004</c:v>
                </c:pt>
                <c:pt idx="4">
                  <c:v>268792.38750000001</c:v>
                </c:pt>
                <c:pt idx="5">
                  <c:v>308662.84312500001</c:v>
                </c:pt>
                <c:pt idx="6">
                  <c:v>348533.29874999996</c:v>
                </c:pt>
                <c:pt idx="7">
                  <c:v>388403.75437499996</c:v>
                </c:pt>
                <c:pt idx="8">
                  <c:v>428274.21</c:v>
                </c:pt>
                <c:pt idx="9">
                  <c:v>468144.66562500002</c:v>
                </c:pt>
                <c:pt idx="10">
                  <c:v>508015.12124999997</c:v>
                </c:pt>
                <c:pt idx="11">
                  <c:v>547885.57687499991</c:v>
                </c:pt>
                <c:pt idx="12">
                  <c:v>587756.03249999997</c:v>
                </c:pt>
                <c:pt idx="13">
                  <c:v>627626.48812500003</c:v>
                </c:pt>
                <c:pt idx="14">
                  <c:v>667496.94374999998</c:v>
                </c:pt>
                <c:pt idx="15">
                  <c:v>707367.39937499992</c:v>
                </c:pt>
                <c:pt idx="16">
                  <c:v>747237.85499999998</c:v>
                </c:pt>
                <c:pt idx="17">
                  <c:v>787108.31062499993</c:v>
                </c:pt>
                <c:pt idx="18">
                  <c:v>818010.71625000006</c:v>
                </c:pt>
                <c:pt idx="19">
                  <c:v>848913.12187499995</c:v>
                </c:pt>
                <c:pt idx="20">
                  <c:v>879815.5275000002</c:v>
                </c:pt>
                <c:pt idx="21">
                  <c:v>910717.93312499998</c:v>
                </c:pt>
                <c:pt idx="22">
                  <c:v>941620.33874999988</c:v>
                </c:pt>
                <c:pt idx="23">
                  <c:v>972522.74437500013</c:v>
                </c:pt>
                <c:pt idx="24">
                  <c:v>1003425.1499999999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D-4DA3-9A1B-913DA7C09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91484784"/>
        <c:axId val="1591724736"/>
      </c:barChart>
      <c:lineChart>
        <c:grouping val="standard"/>
        <c:varyColors val="0"/>
        <c:ser>
          <c:idx val="1"/>
          <c:order val="1"/>
          <c:tx>
            <c:v>energy cost</c:v>
          </c:tx>
          <c:spPr>
            <a:ln w="28575" cap="rnd">
              <a:solidFill>
                <a:srgbClr val="FF2929"/>
              </a:solidFill>
              <a:round/>
            </a:ln>
            <a:effectLst/>
          </c:spPr>
          <c:marker>
            <c:symbol val="none"/>
          </c:marker>
          <c:val>
            <c:numRef>
              <c:f>'Grant vs No Grant Summary'!$B$40:$Z$40</c:f>
              <c:numCache>
                <c:formatCode>_("$"* #,##0.00_);_("$"* \(#,##0.00\);_("$"* "-"??_);_(@_)</c:formatCode>
                <c:ptCount val="25"/>
                <c:pt idx="0">
                  <c:v>-25141.429949999998</c:v>
                </c:pt>
                <c:pt idx="1">
                  <c:v>-34311.634743750001</c:v>
                </c:pt>
                <c:pt idx="2">
                  <c:v>-43481.839537500004</c:v>
                </c:pt>
                <c:pt idx="3">
                  <c:v>-52652.044331250007</c:v>
                </c:pt>
                <c:pt idx="4">
                  <c:v>-61822.249125000002</c:v>
                </c:pt>
                <c:pt idx="5">
                  <c:v>-70992.45391875002</c:v>
                </c:pt>
                <c:pt idx="6">
                  <c:v>-80162.658712499993</c:v>
                </c:pt>
                <c:pt idx="7">
                  <c:v>-89332.863506249996</c:v>
                </c:pt>
                <c:pt idx="8">
                  <c:v>-98503.068299999999</c:v>
                </c:pt>
                <c:pt idx="9">
                  <c:v>-107673.27309375002</c:v>
                </c:pt>
                <c:pt idx="10">
                  <c:v>-116843.4778875</c:v>
                </c:pt>
                <c:pt idx="11">
                  <c:v>-126013.68268124999</c:v>
                </c:pt>
                <c:pt idx="12">
                  <c:v>-135183.88747500003</c:v>
                </c:pt>
                <c:pt idx="13">
                  <c:v>-144354.09226875001</c:v>
                </c:pt>
                <c:pt idx="14">
                  <c:v>-153524.2970625</c:v>
                </c:pt>
                <c:pt idx="15">
                  <c:v>-162694.50185625002</c:v>
                </c:pt>
                <c:pt idx="16">
                  <c:v>-171864.70665000001</c:v>
                </c:pt>
                <c:pt idx="17">
                  <c:v>-181034.91144375</c:v>
                </c:pt>
                <c:pt idx="18">
                  <c:v>-188142.46473750001</c:v>
                </c:pt>
                <c:pt idx="19">
                  <c:v>-195250.01803124999</c:v>
                </c:pt>
                <c:pt idx="20">
                  <c:v>-202357.57132500006</c:v>
                </c:pt>
                <c:pt idx="21">
                  <c:v>-209465.12461874998</c:v>
                </c:pt>
                <c:pt idx="22">
                  <c:v>-216572.67791249996</c:v>
                </c:pt>
                <c:pt idx="23">
                  <c:v>-223680.23120625003</c:v>
                </c:pt>
                <c:pt idx="24">
                  <c:v>-230787.78450000001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8D-4DA3-9A1B-913DA7C09B9E}"/>
            </c:ext>
          </c:extLst>
        </c:ser>
        <c:ser>
          <c:idx val="2"/>
          <c:order val="2"/>
          <c:tx>
            <c:v>charging revenue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'Grant vs No Grant Summary'!$B$43:$Z$43</c:f>
              <c:numCache>
                <c:formatCode>_("$"* #,##0.00_);_("$"* \(#,##0.00\);_("$"*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68294.316431250001</c:v>
                </c:pt>
                <c:pt idx="4">
                  <c:v>80346.254625000001</c:v>
                </c:pt>
                <c:pt idx="5">
                  <c:v>92398.192818750016</c:v>
                </c:pt>
                <c:pt idx="6">
                  <c:v>104450.1310125</c:v>
                </c:pt>
                <c:pt idx="7">
                  <c:v>116502.06920625</c:v>
                </c:pt>
                <c:pt idx="8">
                  <c:v>128554.0074</c:v>
                </c:pt>
                <c:pt idx="9">
                  <c:v>140605.94559375002</c:v>
                </c:pt>
                <c:pt idx="10">
                  <c:v>152657.8837875</c:v>
                </c:pt>
                <c:pt idx="11">
                  <c:v>164709.82198124999</c:v>
                </c:pt>
                <c:pt idx="12">
                  <c:v>176761.76017500003</c:v>
                </c:pt>
                <c:pt idx="13">
                  <c:v>188813.69836874999</c:v>
                </c:pt>
                <c:pt idx="14">
                  <c:v>200865.63656249997</c:v>
                </c:pt>
                <c:pt idx="15">
                  <c:v>212917.57475624999</c:v>
                </c:pt>
                <c:pt idx="16">
                  <c:v>224969.51295</c:v>
                </c:pt>
                <c:pt idx="17">
                  <c:v>237021.45114374999</c:v>
                </c:pt>
                <c:pt idx="18">
                  <c:v>249073.38933750003</c:v>
                </c:pt>
                <c:pt idx="19">
                  <c:v>261125.32753125002</c:v>
                </c:pt>
                <c:pt idx="20">
                  <c:v>273177.26572500012</c:v>
                </c:pt>
                <c:pt idx="21">
                  <c:v>285229.20391874999</c:v>
                </c:pt>
                <c:pt idx="22">
                  <c:v>297281.14211249998</c:v>
                </c:pt>
                <c:pt idx="23">
                  <c:v>309333.08030625014</c:v>
                </c:pt>
                <c:pt idx="24">
                  <c:v>321385.01849999995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8D-4DA3-9A1B-913DA7C09B9E}"/>
            </c:ext>
          </c:extLst>
        </c:ser>
        <c:ser>
          <c:idx val="3"/>
          <c:order val="3"/>
          <c:tx>
            <c:v>net income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'Grant vs No Grant Summary'!$B$45:$Z$45</c:f>
              <c:numCache>
                <c:formatCode>_("$"* #,##0.00_);_("$"* \(#,##0.00\);_("$"* "-"??_);_(@_)</c:formatCode>
                <c:ptCount val="25"/>
                <c:pt idx="0">
                  <c:v>-39025.429949999998</c:v>
                </c:pt>
                <c:pt idx="1">
                  <c:v>-48195.634743750001</c:v>
                </c:pt>
                <c:pt idx="2">
                  <c:v>-57365.839537500004</c:v>
                </c:pt>
                <c:pt idx="3">
                  <c:v>1758.2720999999874</c:v>
                </c:pt>
                <c:pt idx="4">
                  <c:v>4640.0054999999993</c:v>
                </c:pt>
                <c:pt idx="5">
                  <c:v>7521.7388999999966</c:v>
                </c:pt>
                <c:pt idx="6">
                  <c:v>10403.472300000009</c:v>
                </c:pt>
                <c:pt idx="7">
                  <c:v>13285.205700000006</c:v>
                </c:pt>
                <c:pt idx="8">
                  <c:v>16166.939100000003</c:v>
                </c:pt>
                <c:pt idx="9">
                  <c:v>19048.672500000001</c:v>
                </c:pt>
                <c:pt idx="10">
                  <c:v>21930.405899999998</c:v>
                </c:pt>
                <c:pt idx="11">
                  <c:v>24812.13930000001</c:v>
                </c:pt>
                <c:pt idx="12">
                  <c:v>27693.872700000007</c:v>
                </c:pt>
                <c:pt idx="13">
                  <c:v>30575.606099999975</c:v>
                </c:pt>
                <c:pt idx="14">
                  <c:v>33457.339499999973</c:v>
                </c:pt>
                <c:pt idx="15">
                  <c:v>36339.07289999997</c:v>
                </c:pt>
                <c:pt idx="16">
                  <c:v>39220.806299999997</c:v>
                </c:pt>
                <c:pt idx="17">
                  <c:v>42102.539699999994</c:v>
                </c:pt>
                <c:pt idx="18">
                  <c:v>47046.924600000028</c:v>
                </c:pt>
                <c:pt idx="19">
                  <c:v>51991.309500000032</c:v>
                </c:pt>
                <c:pt idx="20">
                  <c:v>56935.694400000066</c:v>
                </c:pt>
                <c:pt idx="21">
                  <c:v>61880.079300000012</c:v>
                </c:pt>
                <c:pt idx="22">
                  <c:v>66824.464200000017</c:v>
                </c:pt>
                <c:pt idx="23">
                  <c:v>71768.849100000109</c:v>
                </c:pt>
                <c:pt idx="24">
                  <c:v>76713.233999999939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8D-4DA3-9A1B-913DA7C09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366064"/>
        <c:axId val="1403290464"/>
      </c:lineChart>
      <c:catAx>
        <c:axId val="139148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724736"/>
        <c:crosses val="autoZero"/>
        <c:auto val="1"/>
        <c:lblAlgn val="ctr"/>
        <c:lblOffset val="100"/>
        <c:noMultiLvlLbl val="0"/>
      </c:catAx>
      <c:valAx>
        <c:axId val="159172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484784"/>
        <c:crosses val="autoZero"/>
        <c:crossBetween val="between"/>
      </c:valAx>
      <c:valAx>
        <c:axId val="1403290464"/>
        <c:scaling>
          <c:orientation val="minMax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0366064"/>
        <c:crosses val="max"/>
        <c:crossBetween val="between"/>
      </c:valAx>
      <c:catAx>
        <c:axId val="1450366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40329046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Example 2: Annual Net Charging Income/Loss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($0.10/kWh</a:t>
            </a:r>
            <a:r>
              <a:rPr lang="en-US" baseline="0"/>
              <a:t> fee from 2024 to 2027, $0.39/kWh fee from 2027 to 2032)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01833439367453"/>
          <c:y val="0.16083355913204214"/>
          <c:w val="0.85247734219528193"/>
          <c:h val="0.7334747823052996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'Energy Usage Cash Flow Examples'!$B$47:$J$47</c:f>
              <c:numCache>
                <c:formatCode>General</c:formatCode>
                <c:ptCount val="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</c:numCache>
            </c:numRef>
          </c:xVal>
          <c:yVal>
            <c:numRef>
              <c:f>'Energy Usage Cash Flow Examples'!$B$57:$J$57</c:f>
              <c:numCache>
                <c:formatCode>_("$"* #,##0.00_);_("$"* \(#,##0.00\);_("$"* "-"??_);_(@_)</c:formatCode>
                <c:ptCount val="9"/>
                <c:pt idx="0">
                  <c:v>-30784.78845</c:v>
                </c:pt>
                <c:pt idx="1">
                  <c:v>-36864.75268125</c:v>
                </c:pt>
                <c:pt idx="2">
                  <c:v>-42944.7169125</c:v>
                </c:pt>
                <c:pt idx="3">
                  <c:v>1758.2720999999874</c:v>
                </c:pt>
                <c:pt idx="4">
                  <c:v>4640.0054999999993</c:v>
                </c:pt>
                <c:pt idx="5">
                  <c:v>7521.7388999999966</c:v>
                </c:pt>
                <c:pt idx="6">
                  <c:v>10403.472300000009</c:v>
                </c:pt>
                <c:pt idx="7">
                  <c:v>13285.205700000006</c:v>
                </c:pt>
                <c:pt idx="8">
                  <c:v>16166.939100000003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8F-443D-A733-D87FD277E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19664"/>
        <c:axId val="1966950880"/>
      </c:scatterChart>
      <c:valAx>
        <c:axId val="140819664"/>
        <c:scaling>
          <c:orientation val="minMax"/>
          <c:max val="2032"/>
          <c:min val="2024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950880"/>
        <c:crosses val="autoZero"/>
        <c:crossBetween val="midCat"/>
      </c:valAx>
      <c:valAx>
        <c:axId val="1966950880"/>
        <c:scaling>
          <c:orientation val="minMax"/>
          <c:min val="-60000"/>
        </c:scaling>
        <c:delete val="0"/>
        <c:axPos val="l"/>
        <c:numFmt formatCode="_(&quot;$&quot;* #,##0_);_(&quot;$&quot;* \(#,##0\);_(&quot;$&quot;* &quot;-&quot;_);_(@_)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1966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Example 3: Annual Net Charging Income/Loss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($0.00/kWh</a:t>
            </a:r>
            <a:r>
              <a:rPr lang="en-US" baseline="0"/>
              <a:t> fee 2024 to 2027, $0.39/kWh fee 2027 to 2032)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'Energy Usage Cash Flow Examples'!$B$47:$J$47</c:f>
              <c:numCache>
                <c:formatCode>General</c:formatCode>
                <c:ptCount val="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</c:numCache>
            </c:numRef>
          </c:xVal>
          <c:yVal>
            <c:numRef>
              <c:f>'Energy Usage Cash Flow Examples'!$B$86:$J$86</c:f>
              <c:numCache>
                <c:formatCode>_("$"* #,##0.00_);_("$"* \(#,##0.00\);_("$"* "-"??_);_(@_)</c:formatCode>
                <c:ptCount val="9"/>
                <c:pt idx="0">
                  <c:v>-39025.429949999998</c:v>
                </c:pt>
                <c:pt idx="1">
                  <c:v>-48195.634743750001</c:v>
                </c:pt>
                <c:pt idx="2">
                  <c:v>-57365.839537500004</c:v>
                </c:pt>
                <c:pt idx="3">
                  <c:v>1758.2720999999874</c:v>
                </c:pt>
                <c:pt idx="4">
                  <c:v>4640.0054999999993</c:v>
                </c:pt>
                <c:pt idx="5">
                  <c:v>7521.7388999999966</c:v>
                </c:pt>
                <c:pt idx="6">
                  <c:v>10403.472300000009</c:v>
                </c:pt>
                <c:pt idx="7">
                  <c:v>13285.205700000006</c:v>
                </c:pt>
                <c:pt idx="8">
                  <c:v>16166.939100000003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9F-4849-A445-CDEB22A83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19664"/>
        <c:axId val="1966950880"/>
      </c:scatterChart>
      <c:valAx>
        <c:axId val="140819664"/>
        <c:scaling>
          <c:orientation val="minMax"/>
          <c:max val="2032"/>
          <c:min val="2024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950880"/>
        <c:crosses val="autoZero"/>
        <c:crossBetween val="midCat"/>
      </c:valAx>
      <c:valAx>
        <c:axId val="1966950880"/>
        <c:scaling>
          <c:orientation val="minMax"/>
          <c:min val="-60000"/>
        </c:scaling>
        <c:delete val="0"/>
        <c:axPos val="l"/>
        <c:numFmt formatCode="_(&quot;$&quot;* #,##0_);_(&quot;$&quot;* \(#,##0\);_(&quot;$&quot;* &quot;-&quot;_);_(@_)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1966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Example 1: Annual</a:t>
            </a:r>
            <a:r>
              <a:rPr lang="en-US" baseline="0"/>
              <a:t> </a:t>
            </a:r>
            <a:r>
              <a:rPr lang="en-US"/>
              <a:t>Net Charging Income/Loss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/>
              <a:t>(No Charging Fee from 2024</a:t>
            </a:r>
            <a:r>
              <a:rPr lang="en-US" baseline="0"/>
              <a:t> to 2032)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'Energy Usage Cash Flow Examples'!$B$47:$J$47</c:f>
              <c:numCache>
                <c:formatCode>General</c:formatCode>
                <c:ptCount val="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</c:numCache>
            </c:numRef>
          </c:xVal>
          <c:yVal>
            <c:numRef>
              <c:f>'Energy Usage Cash Flow Examples'!$B$32:$J$32</c:f>
              <c:numCache>
                <c:formatCode>_("$"* #,##0.00_);_("$"* \(#,##0.00\);_("$"* "-"??_);_(@_)</c:formatCode>
                <c:ptCount val="9"/>
                <c:pt idx="0">
                  <c:v>-39025.429949999998</c:v>
                </c:pt>
                <c:pt idx="1">
                  <c:v>-48195.634743750001</c:v>
                </c:pt>
                <c:pt idx="2">
                  <c:v>-57365.839537500004</c:v>
                </c:pt>
                <c:pt idx="3">
                  <c:v>-66536.044331250014</c:v>
                </c:pt>
                <c:pt idx="4">
                  <c:v>-75706.249125000002</c:v>
                </c:pt>
                <c:pt idx="5">
                  <c:v>-84876.45391875002</c:v>
                </c:pt>
                <c:pt idx="6">
                  <c:v>-94046.658712499993</c:v>
                </c:pt>
                <c:pt idx="7">
                  <c:v>-103216.86350625</c:v>
                </c:pt>
                <c:pt idx="8">
                  <c:v>-112387.0683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09-438E-9C10-DBCE064CB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19664"/>
        <c:axId val="1966950880"/>
      </c:scatterChart>
      <c:valAx>
        <c:axId val="140819664"/>
        <c:scaling>
          <c:orientation val="minMax"/>
          <c:max val="2032"/>
          <c:min val="2024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950880"/>
        <c:crosses val="autoZero"/>
        <c:crossBetween val="midCat"/>
      </c:valAx>
      <c:valAx>
        <c:axId val="1966950880"/>
        <c:scaling>
          <c:orientation val="minMax"/>
          <c:max val="0"/>
          <c:min val="-110000"/>
        </c:scaling>
        <c:delete val="0"/>
        <c:axPos val="l"/>
        <c:numFmt formatCode="_(&quot;$&quot;* #,##0_);_(&quot;$&quot;* \(#,##0\);_(&quot;$&quot;* &quot;-&quot;_);_(@_)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1966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Example 4: Annual Net Charging Income/Loss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(Fee Equal</a:t>
            </a:r>
            <a:r>
              <a:rPr lang="en-US" baseline="0"/>
              <a:t> to Cost of Electricity per kWh from 2024 to 2032)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'Energy Usage Cash Flow Examples'!$B$47:$J$47</c:f>
              <c:numCache>
                <c:formatCode>General</c:formatCode>
                <c:ptCount val="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</c:numCache>
            </c:numRef>
          </c:xVal>
          <c:yVal>
            <c:numRef>
              <c:f>'Energy Usage Cash Flow Examples'!$B$113:$J$113</c:f>
              <c:numCache>
                <c:formatCode>_("$"* #,##0.00_);_("$"* \(#,##0.00\);_("$"* "-"??_);_(@_)</c:formatCode>
                <c:ptCount val="9"/>
                <c:pt idx="0">
                  <c:v>-20071.9545</c:v>
                </c:pt>
                <c:pt idx="1">
                  <c:v>-22134.606</c:v>
                </c:pt>
                <c:pt idx="2">
                  <c:v>-24197.2575</c:v>
                </c:pt>
                <c:pt idx="3">
                  <c:v>-26259.909000000007</c:v>
                </c:pt>
                <c:pt idx="4">
                  <c:v>-28322.5605</c:v>
                </c:pt>
                <c:pt idx="5">
                  <c:v>-30385.212000000014</c:v>
                </c:pt>
                <c:pt idx="6">
                  <c:v>-32447.863499999999</c:v>
                </c:pt>
                <c:pt idx="7">
                  <c:v>-34510.514999999999</c:v>
                </c:pt>
                <c:pt idx="8">
                  <c:v>-36573.166500000007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9C-439D-87A8-19860E72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19664"/>
        <c:axId val="1966950880"/>
      </c:scatterChart>
      <c:valAx>
        <c:axId val="140819664"/>
        <c:scaling>
          <c:orientation val="minMax"/>
          <c:max val="2032"/>
          <c:min val="2024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950880"/>
        <c:crosses val="autoZero"/>
        <c:crossBetween val="midCat"/>
      </c:valAx>
      <c:valAx>
        <c:axId val="1966950880"/>
        <c:scaling>
          <c:orientation val="minMax"/>
          <c:max val="60000"/>
          <c:min val="-60000"/>
        </c:scaling>
        <c:delete val="0"/>
        <c:axPos val="l"/>
        <c:numFmt formatCode="_(&quot;$&quot;* #,##0_);_(&quot;$&quot;* \(#,##0\);_(&quot;$&quot;* &quot;-&quot;_);_(@_)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1966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yearly Rev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0824725673427202E-2"/>
                  <c:y val="-2.0867945193038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757889103476941E-2"/>
                      <c:h val="5.68558145982405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C96-4244-9C3F-0DD2B6D934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'Level 2 Chargers'!$F$98:$O$98</c:f>
              <c:numCache>
                <c:formatCode>0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'Level 2 Chargers'!$F$101:$O$101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-15019.469300000002</c:v>
                </c:pt>
                <c:pt idx="2">
                  <c:v>-20091.648912500001</c:v>
                </c:pt>
                <c:pt idx="3">
                  <c:v>-25163.828524999997</c:v>
                </c:pt>
                <c:pt idx="4">
                  <c:v>-30236.008137500005</c:v>
                </c:pt>
                <c:pt idx="5">
                  <c:v>-35308.187749999997</c:v>
                </c:pt>
                <c:pt idx="6">
                  <c:v>-40380.367362500008</c:v>
                </c:pt>
                <c:pt idx="7">
                  <c:v>-45452.546974999997</c:v>
                </c:pt>
                <c:pt idx="8">
                  <c:v>-50524.726587499994</c:v>
                </c:pt>
                <c:pt idx="9">
                  <c:v>-55596.906200000005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6-4244-9C3F-0DD2B6D93428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'Level 2 Chargers'!$F$98:$O$98</c:f>
              <c:numCache>
                <c:formatCode>0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'Level 3 Chargers'!$A$101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6-4244-9C3F-0DD2B6D9342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37620816"/>
        <c:axId val="1637618416"/>
      </c:lineChart>
      <c:catAx>
        <c:axId val="163762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618416"/>
        <c:crosses val="autoZero"/>
        <c:auto val="1"/>
        <c:lblAlgn val="ctr"/>
        <c:lblOffset val="100"/>
        <c:noMultiLvlLbl val="0"/>
      </c:catAx>
      <c:valAx>
        <c:axId val="1637618416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62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980643</xdr:colOff>
      <xdr:row>103</xdr:row>
      <xdr:rowOff>70418</xdr:rowOff>
    </xdr:from>
    <xdr:to>
      <xdr:col>13</xdr:col>
      <xdr:colOff>246782</xdr:colOff>
      <xdr:row>132</xdr:row>
      <xdr:rowOff>1146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4A7D5B1-D561-484C-A363-845916D8A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361868</xdr:colOff>
      <xdr:row>23</xdr:row>
      <xdr:rowOff>42182</xdr:rowOff>
    </xdr:from>
    <xdr:to>
      <xdr:col>2</xdr:col>
      <xdr:colOff>1157487</xdr:colOff>
      <xdr:row>24</xdr:row>
      <xdr:rowOff>210270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6B0E9F0-CA93-C437-A0F1-19CDEF3C8326}"/>
            </a:ext>
          </a:extLst>
        </xdr:cNvPr>
        <xdr:cNvSpPr txBox="1"/>
      </xdr:nvSpPr>
      <xdr:spPr>
        <a:xfrm>
          <a:off x="8988797" y="5172075"/>
          <a:ext cx="795619" cy="413016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accent1"/>
              </a:solidFill>
            </a:rPr>
            <a:t>with grant</a:t>
          </a:r>
        </a:p>
      </xdr:txBody>
    </xdr:sp>
    <xdr:clientData/>
  </xdr:twoCellAnchor>
  <xdr:twoCellAnchor>
    <xdr:from>
      <xdr:col>2</xdr:col>
      <xdr:colOff>378118</xdr:colOff>
      <xdr:row>25</xdr:row>
      <xdr:rowOff>1922</xdr:rowOff>
    </xdr:from>
    <xdr:to>
      <xdr:col>2</xdr:col>
      <xdr:colOff>1173737</xdr:colOff>
      <xdr:row>26</xdr:row>
      <xdr:rowOff>170010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62B83D4-E181-4E4C-8511-471D2E8EAD87}"/>
            </a:ext>
          </a:extLst>
        </xdr:cNvPr>
        <xdr:cNvSpPr txBox="1"/>
      </xdr:nvSpPr>
      <xdr:spPr>
        <a:xfrm>
          <a:off x="9005047" y="5621672"/>
          <a:ext cx="795619" cy="413017"/>
        </a:xfrm>
        <a:prstGeom prst="rect">
          <a:avLst/>
        </a:prstGeom>
        <a:solidFill>
          <a:schemeClr val="lt1"/>
        </a:solidFill>
        <a:ln w="9525" cmpd="sng">
          <a:solidFill>
            <a:srgbClr val="FF292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FF0000"/>
              </a:solidFill>
            </a:rPr>
            <a:t>no grant</a:t>
          </a:r>
        </a:p>
      </xdr:txBody>
    </xdr:sp>
    <xdr:clientData/>
  </xdr:twoCellAnchor>
  <xdr:twoCellAnchor>
    <xdr:from>
      <xdr:col>0</xdr:col>
      <xdr:colOff>740391</xdr:colOff>
      <xdr:row>103</xdr:row>
      <xdr:rowOff>95089</xdr:rowOff>
    </xdr:from>
    <xdr:to>
      <xdr:col>4</xdr:col>
      <xdr:colOff>1297009</xdr:colOff>
      <xdr:row>132</xdr:row>
      <xdr:rowOff>37418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CF27F21C-FB76-A464-614A-5E014A7CA9B5}"/>
            </a:ext>
          </a:extLst>
        </xdr:cNvPr>
        <xdr:cNvGrpSpPr/>
      </xdr:nvGrpSpPr>
      <xdr:grpSpPr>
        <a:xfrm>
          <a:off x="740391" y="20686407"/>
          <a:ext cx="14722891" cy="5466829"/>
          <a:chOff x="311765" y="9864709"/>
          <a:chExt cx="15710027" cy="5466829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8383A1CF-3734-4E6D-92E5-CFD1FA65E609}"/>
              </a:ext>
            </a:extLst>
          </xdr:cNvPr>
          <xdr:cNvGraphicFramePr>
            <a:graphicFrameLocks/>
          </xdr:cNvGraphicFramePr>
        </xdr:nvGraphicFramePr>
        <xdr:xfrm>
          <a:off x="311765" y="9864709"/>
          <a:ext cx="14913082" cy="54668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TextBox 1">
            <a:extLst>
              <a:ext uri="{FF2B5EF4-FFF2-40B4-BE49-F238E27FC236}">
                <a16:creationId xmlns:a16="http://schemas.microsoft.com/office/drawing/2014/main" id="{7925CF60-B8F0-1FDE-DC34-559832D41AA9}"/>
              </a:ext>
            </a:extLst>
          </xdr:cNvPr>
          <xdr:cNvSpPr txBox="1"/>
        </xdr:nvSpPr>
        <xdr:spPr>
          <a:xfrm>
            <a:off x="10042874" y="13156248"/>
            <a:ext cx="5978918" cy="97909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 i="1" baseline="0">
                <a:effectLst/>
                <a:latin typeface="+mn-lt"/>
                <a:ea typeface="+mn-ea"/>
                <a:cs typeface="+mn-cs"/>
              </a:rPr>
              <a:t>Default Example:</a:t>
            </a:r>
            <a:endParaRPr lang="en-US" sz="1400"/>
          </a:p>
          <a:p>
            <a:r>
              <a:rPr lang="en-US" sz="1400"/>
              <a:t>Payback</a:t>
            </a:r>
            <a:r>
              <a:rPr lang="en-US" sz="1400" baseline="0"/>
              <a:t> During FY2039</a:t>
            </a:r>
          </a:p>
          <a:p>
            <a:r>
              <a:rPr lang="en-US" sz="1400" baseline="0"/>
              <a:t>2024 to 2027 = no fee</a:t>
            </a:r>
          </a:p>
          <a:p>
            <a:r>
              <a:rPr lang="en-US" sz="1400" baseline="0"/>
              <a:t>2027 to 2044 = $0.39/kWh (16¢ &gt; electricity cost) </a:t>
            </a:r>
            <a:endParaRPr lang="en-US" sz="1400"/>
          </a:p>
        </xdr:txBody>
      </xdr:sp>
    </xdr:grpSp>
    <xdr:clientData/>
  </xdr:twoCellAnchor>
  <xdr:twoCellAnchor>
    <xdr:from>
      <xdr:col>0</xdr:col>
      <xdr:colOff>163286</xdr:colOff>
      <xdr:row>8</xdr:row>
      <xdr:rowOff>18410</xdr:rowOff>
    </xdr:from>
    <xdr:to>
      <xdr:col>3</xdr:col>
      <xdr:colOff>156882</xdr:colOff>
      <xdr:row>20</xdr:row>
      <xdr:rowOff>138545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4270FAF7-9277-45CA-9129-E08FCABB0795}"/>
            </a:ext>
          </a:extLst>
        </xdr:cNvPr>
        <xdr:cNvSpPr txBox="1"/>
      </xdr:nvSpPr>
      <xdr:spPr>
        <a:xfrm>
          <a:off x="163286" y="2102704"/>
          <a:ext cx="10168537" cy="2406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This sheet compares and summarizes the upfront cost, annual energy cost, and payback estimates for the purchase of EV chargers both with and without the CT DEEP grant.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Electricty cost rate is based on Eversource's standard EV Rate 35 as of 11/3/23</a:t>
          </a:r>
          <a:endParaRPr lang="en-US" sz="1100" baseline="0"/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100" baseline="0"/>
            <a:t>Calculations are based on assumptions provided by third-party electric vehicle charger consultant from a nationally recognized firm: 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assumes approx. 5% of population own EVs, accounts for 3% increase in adoption each year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assumes 15% of the population of EV owners will need to charge while at the City of Stamford Government Center</a:t>
          </a:r>
        </a:p>
        <a:p>
          <a:pPr marL="1085850" lvl="2" indent="-171450">
            <a:buFont typeface="Arial" panose="020B0604020202020204" pitchFamily="34" charset="0"/>
            <a:buChar char="•"/>
          </a:pPr>
          <a:r>
            <a:rPr lang="en-US" sz="1100" baseline="0"/>
            <a:t>assumes 90% of fleet vehicles will need to charge nightly (level II spots only); initially, 15% of entire fleet is EV, increases by incremenets of 5% each year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suggested $0.39/kWh charging fee provided by third-party EV consultant (typical), no fee for any fleet vehicle charging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employee charge sessions are approximately 4 hours per session (mostly during day)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fleet charge sessions are approximately 6 hrs per session (mostly after business hours)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vistor charge sessions are apprximately 2.5 hrs per session (most during day)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assumes most people will do a majority of their charging at home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Forecast is based on value of US currency as of 11/7/2023 and current electricity prices from Eversource CT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Charging fee rates require approval from Board of Representatives and do not apply to the city fleet vehicles. </a:t>
          </a:r>
          <a:endParaRPr lang="en-US" sz="1100" baseline="0"/>
        </a:p>
      </xdr:txBody>
    </xdr:sp>
    <xdr:clientData/>
  </xdr:twoCellAnchor>
  <xdr:twoCellAnchor>
    <xdr:from>
      <xdr:col>1</xdr:col>
      <xdr:colOff>767129</xdr:colOff>
      <xdr:row>15</xdr:row>
      <xdr:rowOff>156359</xdr:rowOff>
    </xdr:from>
    <xdr:to>
      <xdr:col>3</xdr:col>
      <xdr:colOff>2021032</xdr:colOff>
      <xdr:row>21</xdr:row>
      <xdr:rowOff>27214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7F92C2FD-99ED-8BEF-1288-7ACAF92EE263}"/>
            </a:ext>
          </a:extLst>
        </xdr:cNvPr>
        <xdr:cNvSpPr txBox="1"/>
      </xdr:nvSpPr>
      <xdr:spPr>
        <a:xfrm>
          <a:off x="7883665" y="3598966"/>
          <a:ext cx="4329117" cy="1068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Hover over cells with </a:t>
          </a:r>
          <a:r>
            <a:rPr lang="en-US" sz="1100" baseline="0">
              <a:solidFill>
                <a:srgbClr val="FF2929"/>
              </a:solidFill>
              <a:effectLst/>
              <a:latin typeface="+mn-lt"/>
              <a:ea typeface="+mn-ea"/>
              <a:cs typeface="+mn-cs"/>
            </a:rPr>
            <a:t>red triangle (</a:t>
          </a:r>
          <a:r>
            <a:rPr lang="en-US" sz="1100" baseline="0">
              <a:solidFill>
                <a:srgbClr val="FF2929"/>
              </a:solidFill>
              <a:effectLst/>
              <a:latin typeface="+mn-lt"/>
              <a:ea typeface="+mn-ea"/>
              <a:cs typeface="+mn-cs"/>
              <a:sym typeface="Wingdings 3" panose="05040102010807070707" pitchFamily="18" charset="2"/>
            </a:rPr>
            <a:t></a:t>
          </a:r>
          <a:r>
            <a:rPr lang="en-US" sz="1100" baseline="0">
              <a:solidFill>
                <a:srgbClr val="FF2929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top right corner to view notes/comments.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Yellow shaded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cells can be edited. Default Parameters are shown.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Blue text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reflects WITH GRANT scenario</a:t>
          </a:r>
          <a:endParaRPr lang="en-US">
            <a:effectLst/>
          </a:endParaRPr>
        </a:p>
        <a:p>
          <a:r>
            <a:rPr lang="en-US" sz="1100" b="1" baseline="0">
              <a:solidFill>
                <a:srgbClr val="FF2929"/>
              </a:solidFill>
              <a:effectLst/>
              <a:latin typeface="+mn-lt"/>
              <a:ea typeface="+mn-ea"/>
              <a:cs typeface="+mn-cs"/>
            </a:rPr>
            <a:t>Red text </a:t>
          </a:r>
          <a:r>
            <a:rPr lang="en-US" sz="1100" baseline="0">
              <a:solidFill>
                <a:srgbClr val="FF2929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reflects NO GRANT scenario</a:t>
          </a:r>
          <a:endParaRPr lang="en-US" sz="1100"/>
        </a:p>
      </xdr:txBody>
    </xdr:sp>
    <xdr:clientData/>
  </xdr:twoCellAnchor>
  <xdr:twoCellAnchor>
    <xdr:from>
      <xdr:col>1</xdr:col>
      <xdr:colOff>105947</xdr:colOff>
      <xdr:row>49</xdr:row>
      <xdr:rowOff>74149</xdr:rowOff>
    </xdr:from>
    <xdr:to>
      <xdr:col>6</xdr:col>
      <xdr:colOff>1918311</xdr:colOff>
      <xdr:row>82</xdr:row>
      <xdr:rowOff>114970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CA06E22-1C92-495A-AF6B-20B666A79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1002742</xdr:colOff>
      <xdr:row>58</xdr:row>
      <xdr:rowOff>72222</xdr:rowOff>
    </xdr:from>
    <xdr:to>
      <xdr:col>2</xdr:col>
      <xdr:colOff>1424671</xdr:colOff>
      <xdr:row>65</xdr:row>
      <xdr:rowOff>122467</xdr:rowOff>
    </xdr:to>
    <xdr:cxnSp macro="">
      <xdr:nvCxnSpPr>
        <xdr:cNvPr id="32" name="Connector: Elbow 31">
          <a:extLst>
            <a:ext uri="{FF2B5EF4-FFF2-40B4-BE49-F238E27FC236}">
              <a16:creationId xmlns:a16="http://schemas.microsoft.com/office/drawing/2014/main" id="{8BF32FEC-2E41-B6E8-5ACC-C389C9B1D19D}"/>
            </a:ext>
          </a:extLst>
        </xdr:cNvPr>
        <xdr:cNvCxnSpPr/>
      </xdr:nvCxnSpPr>
      <xdr:spPr>
        <a:xfrm rot="5400000" flipH="1" flipV="1">
          <a:off x="9148763" y="12568237"/>
          <a:ext cx="1383745" cy="421929"/>
        </a:xfrm>
        <a:prstGeom prst="bentConnector3">
          <a:avLst>
            <a:gd name="adj1" fmla="val 99773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3673932</xdr:colOff>
      <xdr:row>59</xdr:row>
      <xdr:rowOff>13610</xdr:rowOff>
    </xdr:from>
    <xdr:to>
      <xdr:col>4</xdr:col>
      <xdr:colOff>892747</xdr:colOff>
      <xdr:row>65</xdr:row>
      <xdr:rowOff>65669</xdr:rowOff>
    </xdr:to>
    <xdr:cxnSp macro="">
      <xdr:nvCxnSpPr>
        <xdr:cNvPr id="41" name="Connector: Elbow 40">
          <a:extLst>
            <a:ext uri="{FF2B5EF4-FFF2-40B4-BE49-F238E27FC236}">
              <a16:creationId xmlns:a16="http://schemas.microsoft.com/office/drawing/2014/main" id="{B086CC94-4EA1-DD4E-4FA2-D57EB3ACE14F}"/>
            </a:ext>
          </a:extLst>
        </xdr:cNvPr>
        <xdr:cNvCxnSpPr/>
      </xdr:nvCxnSpPr>
      <xdr:spPr>
        <a:xfrm>
          <a:off x="13865682" y="12219217"/>
          <a:ext cx="1205708" cy="1195059"/>
        </a:xfrm>
        <a:prstGeom prst="bentConnector3">
          <a:avLst>
            <a:gd name="adj1" fmla="val 99725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1288538</xdr:colOff>
      <xdr:row>65</xdr:row>
      <xdr:rowOff>137260</xdr:rowOff>
    </xdr:from>
    <xdr:to>
      <xdr:col>6</xdr:col>
      <xdr:colOff>1319302</xdr:colOff>
      <xdr:row>71</xdr:row>
      <xdr:rowOff>104124</xdr:rowOff>
    </xdr:to>
    <xdr:cxnSp macro="">
      <xdr:nvCxnSpPr>
        <xdr:cNvPr id="48" name="Connector: Elbow 47">
          <a:extLst>
            <a:ext uri="{FF2B5EF4-FFF2-40B4-BE49-F238E27FC236}">
              <a16:creationId xmlns:a16="http://schemas.microsoft.com/office/drawing/2014/main" id="{84440250-151F-4401-9617-C28FAB88B047}"/>
            </a:ext>
          </a:extLst>
        </xdr:cNvPr>
        <xdr:cNvCxnSpPr/>
      </xdr:nvCxnSpPr>
      <xdr:spPr>
        <a:xfrm flipV="1">
          <a:off x="17018395" y="13485867"/>
          <a:ext cx="1581978" cy="1109864"/>
        </a:xfrm>
        <a:prstGeom prst="bentConnector3">
          <a:avLst>
            <a:gd name="adj1" fmla="val 99215"/>
          </a:avLst>
        </a:prstGeom>
        <a:ln w="12700">
          <a:solidFill>
            <a:srgbClr val="FF292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3204081</xdr:colOff>
      <xdr:row>55</xdr:row>
      <xdr:rowOff>85647</xdr:rowOff>
    </xdr:from>
    <xdr:to>
      <xdr:col>4</xdr:col>
      <xdr:colOff>1235048</xdr:colOff>
      <xdr:row>59</xdr:row>
      <xdr:rowOff>40822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AB6E162-277E-C6FD-C88D-6B7B74BCE351}"/>
            </a:ext>
          </a:extLst>
        </xdr:cNvPr>
        <xdr:cNvSpPr txBox="1"/>
      </xdr:nvSpPr>
      <xdr:spPr>
        <a:xfrm>
          <a:off x="14076188" y="11502040"/>
          <a:ext cx="2317217" cy="71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100">
              <a:solidFill>
                <a:schemeClr val="accent1"/>
              </a:solidFill>
            </a:rPr>
            <a:t>With Grant</a:t>
          </a:r>
          <a:endParaRPr lang="en-US" sz="1100" baseline="0">
            <a:solidFill>
              <a:schemeClr val="accent1"/>
            </a:solidFill>
          </a:endParaRPr>
        </a:p>
        <a:p>
          <a:r>
            <a:rPr lang="en-US" sz="1100" baseline="0">
              <a:solidFill>
                <a:schemeClr val="accent1"/>
              </a:solidFill>
            </a:rPr>
            <a:t>Payback end of 2039 if:</a:t>
          </a:r>
        </a:p>
        <a:p>
          <a:r>
            <a:rPr lang="en-US" sz="1100" baseline="0">
              <a:solidFill>
                <a:schemeClr val="accent1"/>
              </a:solidFill>
            </a:rPr>
            <a:t>2024 to 2027 - no fee</a:t>
          </a:r>
        </a:p>
        <a:p>
          <a:r>
            <a:rPr lang="en-US" sz="1100">
              <a:solidFill>
                <a:schemeClr val="accent1"/>
              </a:solidFill>
            </a:rPr>
            <a:t>2027 to 2044</a:t>
          </a:r>
          <a:r>
            <a:rPr lang="en-US" sz="1100" baseline="0">
              <a:solidFill>
                <a:schemeClr val="accent1"/>
              </a:solidFill>
            </a:rPr>
            <a:t> - $0.39/kWh</a:t>
          </a:r>
          <a:endParaRPr lang="en-US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5</xdr:col>
      <xdr:colOff>1180006</xdr:colOff>
      <xdr:row>71</xdr:row>
      <xdr:rowOff>172000</xdr:rowOff>
    </xdr:from>
    <xdr:to>
      <xdr:col>6</xdr:col>
      <xdr:colOff>1931064</xdr:colOff>
      <xdr:row>75</xdr:row>
      <xdr:rowOff>127175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ECEBF3B0-EEDE-4750-8F7D-BC0D86C1633D}"/>
            </a:ext>
          </a:extLst>
        </xdr:cNvPr>
        <xdr:cNvSpPr txBox="1"/>
      </xdr:nvSpPr>
      <xdr:spPr>
        <a:xfrm>
          <a:off x="17889577" y="14636393"/>
          <a:ext cx="2302273" cy="71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100">
              <a:solidFill>
                <a:srgbClr val="FF2929"/>
              </a:solidFill>
            </a:rPr>
            <a:t>No Grant</a:t>
          </a:r>
          <a:endParaRPr lang="en-US" sz="1100" baseline="0">
            <a:solidFill>
              <a:srgbClr val="FF2929"/>
            </a:solidFill>
          </a:endParaRPr>
        </a:p>
        <a:p>
          <a:r>
            <a:rPr lang="en-US" sz="1100" baseline="0">
              <a:solidFill>
                <a:srgbClr val="FF2929"/>
              </a:solidFill>
            </a:rPr>
            <a:t>Payback end of 2047 if:</a:t>
          </a:r>
        </a:p>
        <a:p>
          <a:r>
            <a:rPr lang="en-US" sz="1100" baseline="0">
              <a:solidFill>
                <a:srgbClr val="FF2929"/>
              </a:solidFill>
            </a:rPr>
            <a:t>2024 to 2027 - </a:t>
          </a:r>
        </a:p>
        <a:p>
          <a:r>
            <a:rPr lang="en-US" sz="1100">
              <a:solidFill>
                <a:srgbClr val="FF2929"/>
              </a:solidFill>
            </a:rPr>
            <a:t>2027 to 2048</a:t>
          </a:r>
          <a:r>
            <a:rPr lang="en-US" sz="1100" baseline="0">
              <a:solidFill>
                <a:srgbClr val="FF2929"/>
              </a:solidFill>
            </a:rPr>
            <a:t> - $0.39/kWh</a:t>
          </a:r>
          <a:endParaRPr lang="en-US" sz="1100">
            <a:solidFill>
              <a:srgbClr val="FF2929"/>
            </a:solidFill>
          </a:endParaRPr>
        </a:p>
      </xdr:txBody>
    </xdr:sp>
    <xdr:clientData/>
  </xdr:twoCellAnchor>
  <xdr:twoCellAnchor>
    <xdr:from>
      <xdr:col>0</xdr:col>
      <xdr:colOff>6830786</xdr:colOff>
      <xdr:row>45</xdr:row>
      <xdr:rowOff>81642</xdr:rowOff>
    </xdr:from>
    <xdr:to>
      <xdr:col>1</xdr:col>
      <xdr:colOff>1047750</xdr:colOff>
      <xdr:row>68</xdr:row>
      <xdr:rowOff>81642</xdr:rowOff>
    </xdr:to>
    <xdr:sp macro="" textlink="">
      <xdr:nvSpPr>
        <xdr:cNvPr id="76" name="Freeform: Shape 75">
          <a:extLst>
            <a:ext uri="{FF2B5EF4-FFF2-40B4-BE49-F238E27FC236}">
              <a16:creationId xmlns:a16="http://schemas.microsoft.com/office/drawing/2014/main" id="{8D595AD0-B9C0-22CD-67C1-E0397EAED71C}"/>
            </a:ext>
          </a:extLst>
        </xdr:cNvPr>
        <xdr:cNvSpPr/>
      </xdr:nvSpPr>
      <xdr:spPr>
        <a:xfrm>
          <a:off x="6830786" y="9565821"/>
          <a:ext cx="1211035" cy="4408714"/>
        </a:xfrm>
        <a:custGeom>
          <a:avLst/>
          <a:gdLst>
            <a:gd name="connsiteX0" fmla="*/ 163285 w 1183821"/>
            <a:gd name="connsiteY0" fmla="*/ 0 h 4408714"/>
            <a:gd name="connsiteX1" fmla="*/ 0 w 1183821"/>
            <a:gd name="connsiteY1" fmla="*/ 0 h 4408714"/>
            <a:gd name="connsiteX2" fmla="*/ 0 w 1183821"/>
            <a:gd name="connsiteY2" fmla="*/ 4408714 h 4408714"/>
            <a:gd name="connsiteX3" fmla="*/ 1183821 w 1183821"/>
            <a:gd name="connsiteY3" fmla="*/ 4408714 h 44087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83821" h="4408714">
              <a:moveTo>
                <a:pt x="163285" y="0"/>
              </a:moveTo>
              <a:lnTo>
                <a:pt x="0" y="0"/>
              </a:lnTo>
              <a:lnTo>
                <a:pt x="0" y="4408714"/>
              </a:lnTo>
              <a:lnTo>
                <a:pt x="1183821" y="4408714"/>
              </a:lnTo>
            </a:path>
          </a:pathLst>
        </a:custGeom>
        <a:noFill/>
        <a:ln w="34925">
          <a:solidFill>
            <a:schemeClr val="accent1"/>
          </a:solidFill>
          <a:headEnd type="oval" w="med" len="med"/>
          <a:tailEnd type="triangle" w="lg" len="me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6762750</xdr:colOff>
      <xdr:row>47</xdr:row>
      <xdr:rowOff>81643</xdr:rowOff>
    </xdr:from>
    <xdr:to>
      <xdr:col>1</xdr:col>
      <xdr:colOff>1156608</xdr:colOff>
      <xdr:row>77</xdr:row>
      <xdr:rowOff>81643</xdr:rowOff>
    </xdr:to>
    <xdr:sp macro="" textlink="">
      <xdr:nvSpPr>
        <xdr:cNvPr id="78" name="Freeform: Shape 77">
          <a:extLst>
            <a:ext uri="{FF2B5EF4-FFF2-40B4-BE49-F238E27FC236}">
              <a16:creationId xmlns:a16="http://schemas.microsoft.com/office/drawing/2014/main" id="{3BF5D953-3BA1-132F-C036-261652463903}"/>
            </a:ext>
          </a:extLst>
        </xdr:cNvPr>
        <xdr:cNvSpPr/>
      </xdr:nvSpPr>
      <xdr:spPr>
        <a:xfrm>
          <a:off x="6762750" y="9960429"/>
          <a:ext cx="1387929" cy="5728607"/>
        </a:xfrm>
        <a:custGeom>
          <a:avLst/>
          <a:gdLst>
            <a:gd name="connsiteX0" fmla="*/ 231321 w 1387929"/>
            <a:gd name="connsiteY0" fmla="*/ 0 h 5728607"/>
            <a:gd name="connsiteX1" fmla="*/ 0 w 1387929"/>
            <a:gd name="connsiteY1" fmla="*/ 0 h 5728607"/>
            <a:gd name="connsiteX2" fmla="*/ 0 w 1387929"/>
            <a:gd name="connsiteY2" fmla="*/ 5728607 h 5728607"/>
            <a:gd name="connsiteX3" fmla="*/ 1387929 w 1387929"/>
            <a:gd name="connsiteY3" fmla="*/ 5728607 h 57286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87929" h="5728607">
              <a:moveTo>
                <a:pt x="231321" y="0"/>
              </a:moveTo>
              <a:lnTo>
                <a:pt x="0" y="0"/>
              </a:lnTo>
              <a:lnTo>
                <a:pt x="0" y="5728607"/>
              </a:lnTo>
              <a:lnTo>
                <a:pt x="1387929" y="5728607"/>
              </a:lnTo>
            </a:path>
          </a:pathLst>
        </a:custGeom>
        <a:noFill/>
        <a:ln w="38100">
          <a:solidFill>
            <a:srgbClr val="FF0000"/>
          </a:solidFill>
          <a:headEnd type="oval"/>
          <a:tailEnd type="triangle" w="lg" len="me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`</a:t>
          </a:r>
        </a:p>
      </xdr:txBody>
    </xdr:sp>
    <xdr:clientData/>
  </xdr:twoCellAnchor>
  <xdr:twoCellAnchor>
    <xdr:from>
      <xdr:col>2</xdr:col>
      <xdr:colOff>0</xdr:colOff>
      <xdr:row>23</xdr:row>
      <xdr:rowOff>136073</xdr:rowOff>
    </xdr:from>
    <xdr:to>
      <xdr:col>2</xdr:col>
      <xdr:colOff>353785</xdr:colOff>
      <xdr:row>24</xdr:row>
      <xdr:rowOff>68037</xdr:rowOff>
    </xdr:to>
    <xdr:sp macro="" textlink="">
      <xdr:nvSpPr>
        <xdr:cNvPr id="79" name="Arrow: Left 78">
          <a:extLst>
            <a:ext uri="{FF2B5EF4-FFF2-40B4-BE49-F238E27FC236}">
              <a16:creationId xmlns:a16="http://schemas.microsoft.com/office/drawing/2014/main" id="{3AC62CBF-15DD-0B91-C351-9FFAF6CFED8C}"/>
            </a:ext>
          </a:extLst>
        </xdr:cNvPr>
        <xdr:cNvSpPr/>
      </xdr:nvSpPr>
      <xdr:spPr>
        <a:xfrm>
          <a:off x="8626929" y="5265966"/>
          <a:ext cx="353785" cy="176892"/>
        </a:xfrm>
        <a:prstGeom prst="leftArrow">
          <a:avLst/>
        </a:prstGeom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16329</xdr:colOff>
      <xdr:row>25</xdr:row>
      <xdr:rowOff>138794</xdr:rowOff>
    </xdr:from>
    <xdr:to>
      <xdr:col>2</xdr:col>
      <xdr:colOff>370114</xdr:colOff>
      <xdr:row>26</xdr:row>
      <xdr:rowOff>70757</xdr:rowOff>
    </xdr:to>
    <xdr:sp macro="" textlink="">
      <xdr:nvSpPr>
        <xdr:cNvPr id="80" name="Arrow: Left 79">
          <a:extLst>
            <a:ext uri="{FF2B5EF4-FFF2-40B4-BE49-F238E27FC236}">
              <a16:creationId xmlns:a16="http://schemas.microsoft.com/office/drawing/2014/main" id="{A4B2FDCE-D8EE-4EC4-AA8A-ABA9F57851C1}"/>
            </a:ext>
          </a:extLst>
        </xdr:cNvPr>
        <xdr:cNvSpPr/>
      </xdr:nvSpPr>
      <xdr:spPr>
        <a:xfrm>
          <a:off x="8643258" y="5758544"/>
          <a:ext cx="353785" cy="176892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1229591</xdr:colOff>
      <xdr:row>53</xdr:row>
      <xdr:rowOff>13854</xdr:rowOff>
    </xdr:from>
    <xdr:to>
      <xdr:col>21</xdr:col>
      <xdr:colOff>329045</xdr:colOff>
      <xdr:row>87</xdr:row>
      <xdr:rowOff>103909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A7B1DB4-E198-5CD1-35A1-2062CF2162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0.88236</cdr:x>
      <cdr:y>0.34384</cdr:y>
    </cdr:from>
    <cdr:to>
      <cdr:x>0.94128</cdr:x>
      <cdr:y>0.47717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66577EE3-252B-A20B-D294-526E9DD09BFC}"/>
            </a:ext>
          </a:extLst>
        </cdr:cNvPr>
        <cdr:cNvCxnSpPr/>
      </cdr:nvCxnSpPr>
      <cdr:spPr>
        <a:xfrm xmlns:a="http://schemas.openxmlformats.org/drawingml/2006/main">
          <a:off x="12524614" y="1875713"/>
          <a:ext cx="836361" cy="727363"/>
        </a:xfrm>
        <a:prstGeom xmlns:a="http://schemas.openxmlformats.org/drawingml/2006/main" prst="straightConnector1">
          <a:avLst/>
        </a:prstGeom>
        <a:ln xmlns:a="http://schemas.openxmlformats.org/drawingml/2006/main" w="38100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0.64056</cdr:x>
      <cdr:y>0.1322</cdr:y>
    </cdr:from>
    <cdr:to>
      <cdr:x>0.91582</cdr:x>
      <cdr:y>0.30837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20C8D5F-BE01-1C77-7A22-BB27CEB55CB8}"/>
            </a:ext>
          </a:extLst>
        </cdr:cNvPr>
        <cdr:cNvSpPr txBox="1"/>
      </cdr:nvSpPr>
      <cdr:spPr>
        <a:xfrm xmlns:a="http://schemas.openxmlformats.org/drawingml/2006/main">
          <a:off x="8781747" y="721186"/>
          <a:ext cx="3773722" cy="961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400" i="1"/>
            <a:t>Default Example:</a:t>
          </a:r>
        </a:p>
        <a:p xmlns:a="http://schemas.openxmlformats.org/drawingml/2006/main">
          <a:pPr algn="l"/>
          <a:r>
            <a:rPr lang="en-US" sz="1400"/>
            <a:t>Payback</a:t>
          </a:r>
          <a:r>
            <a:rPr lang="en-US" sz="1400" baseline="0"/>
            <a:t> During FY2047</a:t>
          </a:r>
        </a:p>
        <a:p xmlns:a="http://schemas.openxmlformats.org/drawingml/2006/main">
          <a:pPr algn="l"/>
          <a:r>
            <a:rPr lang="en-US" sz="1400" baseline="0"/>
            <a:t>2024 to 2027 = $0.39/kWh</a:t>
          </a:r>
        </a:p>
        <a:p xmlns:a="http://schemas.openxmlformats.org/drawingml/2006/main">
          <a:pPr algn="l"/>
          <a:r>
            <a:rPr lang="en-US" sz="1400" baseline="0"/>
            <a:t>2027 to 2044 = $0.39/kWh (16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¢</a:t>
          </a:r>
          <a:r>
            <a:rPr lang="en-US" sz="1400" baseline="0"/>
            <a:t> &gt; electricity cost)</a:t>
          </a:r>
          <a:endParaRPr lang="en-US" sz="14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0.75067</cdr:x>
      <cdr:y>0.49014</cdr:y>
    </cdr:from>
    <cdr:to>
      <cdr:x>0.75122</cdr:x>
      <cdr:y>0.62882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A7370EE5-D9A7-FAF2-2947-345F8F4A7CA2}"/>
            </a:ext>
          </a:extLst>
        </cdr:cNvPr>
        <cdr:cNvCxnSpPr/>
      </cdr:nvCxnSpPr>
      <cdr:spPr>
        <a:xfrm xmlns:a="http://schemas.openxmlformats.org/drawingml/2006/main" flipV="1">
          <a:off x="11025869" y="2679515"/>
          <a:ext cx="8078" cy="758140"/>
        </a:xfrm>
        <a:prstGeom xmlns:a="http://schemas.openxmlformats.org/drawingml/2006/main" prst="straightConnector1">
          <a:avLst/>
        </a:prstGeom>
        <a:ln xmlns:a="http://schemas.openxmlformats.org/drawingml/2006/main" w="38100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0.23965</cdr:x>
      <cdr:y>0.23188</cdr:y>
    </cdr:from>
    <cdr:to>
      <cdr:x>0.42597</cdr:x>
      <cdr:y>0.30911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EF8D5B5-7A50-AA6D-981F-EA5ECAD38739}"/>
            </a:ext>
          </a:extLst>
        </cdr:cNvPr>
        <cdr:cNvSpPr txBox="1"/>
      </cdr:nvSpPr>
      <cdr:spPr>
        <a:xfrm xmlns:a="http://schemas.openxmlformats.org/drawingml/2006/main">
          <a:off x="3134351" y="1467185"/>
          <a:ext cx="2436979" cy="488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1"/>
              </a:solidFill>
            </a:rPr>
            <a:t>With Grant</a:t>
          </a:r>
        </a:p>
        <a:p xmlns:a="http://schemas.openxmlformats.org/drawingml/2006/main">
          <a:r>
            <a:rPr lang="en-US" sz="1100">
              <a:solidFill>
                <a:schemeClr val="accent1"/>
              </a:solidFill>
            </a:rPr>
            <a:t>Begin</a:t>
          </a:r>
          <a:r>
            <a:rPr lang="en-US" sz="1100" baseline="0">
              <a:solidFill>
                <a:schemeClr val="accent1"/>
              </a:solidFill>
            </a:rPr>
            <a:t>  User Charging Fee - 2027</a:t>
          </a:r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119020</xdr:colOff>
      <xdr:row>34</xdr:row>
      <xdr:rowOff>132670</xdr:rowOff>
    </xdr:from>
    <xdr:to>
      <xdr:col>21</xdr:col>
      <xdr:colOff>427262</xdr:colOff>
      <xdr:row>56</xdr:row>
      <xdr:rowOff>196264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3CE71A-EE88-426D-E192-FC934F1EB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106211</xdr:colOff>
      <xdr:row>65</xdr:row>
      <xdr:rowOff>9405</xdr:rowOff>
    </xdr:from>
    <xdr:to>
      <xdr:col>21</xdr:col>
      <xdr:colOff>411253</xdr:colOff>
      <xdr:row>87</xdr:row>
      <xdr:rowOff>61793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E4F290-5F28-46E6-A38D-B3A22671A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215313</xdr:colOff>
      <xdr:row>11</xdr:row>
      <xdr:rowOff>168088</xdr:rowOff>
    </xdr:from>
    <xdr:to>
      <xdr:col>21</xdr:col>
      <xdr:colOff>408215</xdr:colOff>
      <xdr:row>31</xdr:row>
      <xdr:rowOff>168088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4414D1-A3A7-4D16-A5E1-DCCBAE4A0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78440</xdr:colOff>
      <xdr:row>90</xdr:row>
      <xdr:rowOff>56030</xdr:rowOff>
    </xdr:from>
    <xdr:to>
      <xdr:col>21</xdr:col>
      <xdr:colOff>392206</xdr:colOff>
      <xdr:row>112</xdr:row>
      <xdr:rowOff>146838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C009795-0993-4B1A-B06B-529FD8FE7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11205</xdr:colOff>
      <xdr:row>1</xdr:row>
      <xdr:rowOff>11207</xdr:rowOff>
    </xdr:from>
    <xdr:to>
      <xdr:col>4</xdr:col>
      <xdr:colOff>571499</xdr:colOff>
      <xdr:row>10</xdr:row>
      <xdr:rowOff>156882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950D071-2498-E45E-B42C-67D9F169D1A7}"/>
            </a:ext>
          </a:extLst>
        </xdr:cNvPr>
        <xdr:cNvSpPr txBox="1"/>
      </xdr:nvSpPr>
      <xdr:spPr>
        <a:xfrm>
          <a:off x="11205" y="201707"/>
          <a:ext cx="7530353" cy="186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sheet contains (4) examples of annual net income/loss relative to energy consumption only.</a:t>
          </a:r>
        </a:p>
        <a:p>
          <a:r>
            <a:rPr lang="en-US" sz="1100" baseline="0"/>
            <a:t>Initial purchase price, charger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maintenance</a:t>
          </a:r>
          <a:r>
            <a:rPr lang="en-US" sz="1100" baseline="0"/>
            <a:t> cost, EV incentives/rebates, and CT DEEP grant not included.</a:t>
          </a:r>
        </a:p>
        <a:p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Hover over cells with </a:t>
          </a:r>
          <a:r>
            <a:rPr lang="en-US" sz="1100" baseline="0">
              <a:solidFill>
                <a:srgbClr val="FF2929"/>
              </a:solidFill>
              <a:effectLst/>
              <a:latin typeface="+mn-lt"/>
              <a:ea typeface="+mn-ea"/>
              <a:cs typeface="+mn-cs"/>
            </a:rPr>
            <a:t>red triangle (</a:t>
          </a:r>
          <a:r>
            <a:rPr lang="en-US" sz="1100" baseline="0">
              <a:solidFill>
                <a:srgbClr val="FF2929"/>
              </a:solidFill>
              <a:effectLst/>
              <a:latin typeface="+mn-lt"/>
              <a:ea typeface="+mn-ea"/>
              <a:cs typeface="+mn-cs"/>
              <a:sym typeface="Wingdings 3" panose="05040102010807070707" pitchFamily="18" charset="2"/>
            </a:rPr>
            <a:t></a:t>
          </a:r>
          <a:r>
            <a:rPr lang="en-US" sz="1100" baseline="0">
              <a:solidFill>
                <a:srgbClr val="FF2929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top right corner to view notes/comments.</a:t>
          </a:r>
          <a:endParaRPr lang="en-US">
            <a:effectLst/>
          </a:endParaRPr>
        </a:p>
        <a:p>
          <a:r>
            <a:rPr lang="en-US" sz="1100" baseline="0"/>
            <a:t>Electricty cost rate is based on Eversource's standard EV Rate 35 as of 11/3/23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Yellow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shaded cells can be manipulated.</a:t>
          </a:r>
          <a:endParaRPr lang="en-US" sz="1100" baseline="0"/>
        </a:p>
        <a:p>
          <a:r>
            <a:rPr lang="en-US" sz="1100" b="1" baseline="0">
              <a:solidFill>
                <a:schemeClr val="accent1">
                  <a:lumMod val="75000"/>
                </a:schemeClr>
              </a:solidFill>
            </a:rPr>
            <a:t>Dark blue </a:t>
          </a:r>
          <a:r>
            <a:rPr lang="en-US" sz="1100" baseline="0"/>
            <a:t>shaded cells are designated for 2024 to 2027 where profit cannot be realized for first 3 year if grant is pursued</a:t>
          </a:r>
        </a:p>
        <a:p>
          <a:r>
            <a:rPr lang="en-US" sz="1100" b="1" baseline="0">
              <a:solidFill>
                <a:schemeClr val="accent1">
                  <a:lumMod val="60000"/>
                  <a:lumOff val="40000"/>
                </a:schemeClr>
              </a:solidFill>
            </a:rPr>
            <a:t>Light blue </a:t>
          </a:r>
          <a:r>
            <a:rPr lang="en-US" sz="1100" baseline="0"/>
            <a:t>shaded cells are designated for 2027 to 2032 where profit can be realized if grant is pursued</a:t>
          </a:r>
        </a:p>
        <a:p>
          <a:r>
            <a:rPr lang="en-US" sz="1100" b="1" baseline="0">
              <a:solidFill>
                <a:srgbClr val="FF2929"/>
              </a:solidFill>
            </a:rPr>
            <a:t>Red</a:t>
          </a:r>
          <a:r>
            <a:rPr lang="en-US" sz="1100" baseline="0"/>
            <a:t> shaded cells represent negative values (loss)</a:t>
          </a:r>
        </a:p>
        <a:p>
          <a:r>
            <a:rPr lang="en-US" sz="1100" b="1" baseline="0">
              <a:solidFill>
                <a:schemeClr val="accent6">
                  <a:lumMod val="75000"/>
                </a:schemeClr>
              </a:solidFill>
            </a:rPr>
            <a:t>Green</a:t>
          </a:r>
          <a:r>
            <a:rPr lang="en-US" sz="1100" baseline="0"/>
            <a:t> shaded cells represent positive values (income)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2</xdr:row>
      <xdr:rowOff>0</xdr:rowOff>
    </xdr:from>
    <xdr:to>
      <xdr:col>14</xdr:col>
      <xdr:colOff>579424</xdr:colOff>
      <xdr:row>13</xdr:row>
      <xdr:rowOff>99214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C5A850-48D1-4FDB-A97F-89AEEE036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272143</xdr:colOff>
      <xdr:row>1</xdr:row>
      <xdr:rowOff>210229</xdr:rowOff>
    </xdr:from>
    <xdr:to>
      <xdr:col>14</xdr:col>
      <xdr:colOff>469447</xdr:colOff>
      <xdr:row>13</xdr:row>
      <xdr:rowOff>61233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E3526A-7DDB-5CBF-A2F0-C628C9A991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A2C85-F12C-4DFA-97FF-E03F0B126EE9}">
  <dimension ref="A1:BS175"/>
  <sheetViews>
    <sheetView tabSelected="1" zoomScale="55" zoomScaleNormal="55" workbookViewId="0">
      <selection activeCell="B36" sqref="B36"/>
    </sheetView>
  </sheetViews>
  <sheetFormatPr defaultRowHeight="15" x14ac:dyDescent="0.25"/>
  <cols>
    <col min="1" max="1" width="106.7109375" bestFit="1" customWidth="1"/>
    <col min="2" max="2" width="22.5703125" bestFit="1" customWidth="1"/>
    <col min="3" max="3" width="23.42578125" bestFit="1" customWidth="1"/>
    <col min="4" max="4" width="59.85546875" customWidth="1"/>
    <col min="5" max="6" width="23.28515625" bestFit="1" customWidth="1"/>
    <col min="7" max="7" width="38.42578125" bestFit="1" customWidth="1"/>
    <col min="8" max="8" width="23.7109375" bestFit="1" customWidth="1"/>
    <col min="9" max="9" width="19.85546875" bestFit="1" customWidth="1"/>
    <col min="10" max="10" width="38" bestFit="1" customWidth="1"/>
    <col min="11" max="11" width="23.28515625" bestFit="1" customWidth="1"/>
    <col min="12" max="12" width="18.28515625" bestFit="1" customWidth="1"/>
    <col min="13" max="15" width="16" bestFit="1" customWidth="1"/>
    <col min="16" max="16" width="15.42578125" bestFit="1" customWidth="1"/>
    <col min="17" max="17" width="15.7109375" bestFit="1" customWidth="1"/>
    <col min="18" max="18" width="15" bestFit="1" customWidth="1"/>
    <col min="19" max="19" width="15.42578125" bestFit="1" customWidth="1"/>
    <col min="20" max="20" width="15" bestFit="1" customWidth="1"/>
    <col min="21" max="22" width="15.42578125" bestFit="1" customWidth="1"/>
    <col min="23" max="23" width="15" customWidth="1"/>
    <col min="24" max="24" width="15" bestFit="1" customWidth="1"/>
    <col min="25" max="26" width="15.42578125" bestFit="1" customWidth="1"/>
    <col min="27" max="30" width="9.140625" customWidth="1"/>
  </cols>
  <sheetData>
    <row r="1" spans="1:71" ht="15.75" x14ac:dyDescent="0.25">
      <c r="A1" s="249" t="s">
        <v>130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</row>
    <row r="2" spans="1:71" ht="15.75" thickBot="1" x14ac:dyDescent="0.3">
      <c r="A2" s="210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</row>
    <row r="3" spans="1:71" ht="23.25" x14ac:dyDescent="0.35">
      <c r="A3" s="211" t="s">
        <v>121</v>
      </c>
      <c r="B3" s="212" t="s">
        <v>104</v>
      </c>
      <c r="C3" s="213" t="s">
        <v>118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</row>
    <row r="4" spans="1:71" ht="23.25" x14ac:dyDescent="0.35">
      <c r="A4" s="214" t="s">
        <v>117</v>
      </c>
      <c r="B4" s="215">
        <f>E23+E24+E27+E25</f>
        <v>-301197.81999999995</v>
      </c>
      <c r="C4" s="216">
        <f>E23+E24+E25</f>
        <v>-860565.2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</row>
    <row r="5" spans="1:71" ht="23.25" x14ac:dyDescent="0.35">
      <c r="A5" s="214" t="s">
        <v>141</v>
      </c>
      <c r="B5" s="215">
        <f>B4+E26</f>
        <v>-141197.81999999995</v>
      </c>
      <c r="C5" s="216">
        <f>C4+E26</f>
        <v>-700565.2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</row>
    <row r="6" spans="1:71" ht="24" thickBot="1" x14ac:dyDescent="0.4">
      <c r="A6" s="217" t="s">
        <v>112</v>
      </c>
      <c r="B6" s="218">
        <f>SUM(B45:D45)</f>
        <v>-144586.90423125</v>
      </c>
      <c r="C6" s="219">
        <f>SUM(B47:D47)</f>
        <v>-12015.5841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</row>
    <row r="7" spans="1:71" ht="24.75" thickTop="1" thickBot="1" x14ac:dyDescent="0.4">
      <c r="A7" s="220" t="s">
        <v>105</v>
      </c>
      <c r="B7" s="221" t="s">
        <v>143</v>
      </c>
      <c r="C7" s="222" t="s">
        <v>144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</row>
    <row r="8" spans="1:71" x14ac:dyDescent="0.25">
      <c r="A8" s="210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</row>
    <row r="9" spans="1:71" x14ac:dyDescent="0.2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</row>
    <row r="10" spans="1:71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</row>
    <row r="11" spans="1:71" x14ac:dyDescent="0.2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</row>
    <row r="12" spans="1:71" x14ac:dyDescent="0.2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</row>
    <row r="13" spans="1:71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</row>
    <row r="14" spans="1:71" x14ac:dyDescent="0.2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</row>
    <row r="15" spans="1:71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</row>
    <row r="16" spans="1:71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</row>
    <row r="17" spans="1:71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</row>
    <row r="18" spans="1:71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</row>
    <row r="19" spans="1:71" x14ac:dyDescent="0.2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</row>
    <row r="20" spans="1:71" x14ac:dyDescent="0.2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</row>
    <row r="21" spans="1:71" ht="18.75" x14ac:dyDescent="0.3">
      <c r="A21" s="124"/>
      <c r="B21" s="223"/>
      <c r="C21" s="224"/>
      <c r="D21" s="225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</row>
    <row r="22" spans="1:71" ht="18.75" x14ac:dyDescent="0.3">
      <c r="A22" s="124" t="s">
        <v>119</v>
      </c>
      <c r="B22" s="124"/>
      <c r="C22" s="124"/>
      <c r="D22" s="124" t="s">
        <v>120</v>
      </c>
      <c r="E22" s="124"/>
      <c r="F22" s="124"/>
      <c r="G22" s="124"/>
      <c r="H22" s="124"/>
      <c r="I22" s="124"/>
      <c r="J22" s="124"/>
      <c r="K22" s="225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</row>
    <row r="23" spans="1:71" ht="18.75" x14ac:dyDescent="0.3">
      <c r="A23" s="233" t="s">
        <v>77</v>
      </c>
      <c r="B23" s="201">
        <v>0.23</v>
      </c>
      <c r="C23" s="124"/>
      <c r="D23" s="233" t="s">
        <v>131</v>
      </c>
      <c r="E23" s="227">
        <f>'Purchase Summary'!B3</f>
        <v>-291878</v>
      </c>
      <c r="F23" s="124"/>
      <c r="G23" s="124"/>
      <c r="H23" s="124"/>
      <c r="I23" s="124"/>
      <c r="J23" s="228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</row>
    <row r="24" spans="1:71" ht="18.75" x14ac:dyDescent="0.3">
      <c r="A24" s="234" t="s">
        <v>108</v>
      </c>
      <c r="B24" s="202">
        <v>0</v>
      </c>
      <c r="C24" s="124"/>
      <c r="D24" s="233" t="s">
        <v>116</v>
      </c>
      <c r="E24" s="227">
        <f>'Purchase Summary'!B4</f>
        <v>-526787.19999999995</v>
      </c>
      <c r="F24" s="124"/>
      <c r="G24" s="124"/>
      <c r="H24" s="124"/>
      <c r="I24" s="124"/>
      <c r="J24" s="229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</row>
    <row r="25" spans="1:71" ht="18.75" x14ac:dyDescent="0.3">
      <c r="A25" s="234" t="s">
        <v>109</v>
      </c>
      <c r="B25" s="203">
        <v>0.39</v>
      </c>
      <c r="C25" s="124"/>
      <c r="D25" s="233" t="str">
        <f>'Purchase Summary'!A5</f>
        <v>5 Year Maintenance/Service Contract</v>
      </c>
      <c r="E25" s="227">
        <f>'Purchase Summary'!B5</f>
        <v>-41900</v>
      </c>
      <c r="F25" s="124"/>
      <c r="G25" s="124"/>
      <c r="H25" s="124"/>
      <c r="I25" s="124"/>
      <c r="J25" s="228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</row>
    <row r="26" spans="1:71" ht="18.75" x14ac:dyDescent="0.3">
      <c r="A26" s="235" t="s">
        <v>110</v>
      </c>
      <c r="B26" s="204">
        <v>0.39</v>
      </c>
      <c r="C26" s="124"/>
      <c r="D26" s="233" t="s">
        <v>103</v>
      </c>
      <c r="E26" s="227">
        <f>'Purchase Summary'!B7</f>
        <v>160000</v>
      </c>
      <c r="F26" s="124"/>
      <c r="G26" s="124"/>
      <c r="H26" s="124"/>
      <c r="I26" s="124"/>
      <c r="J26" s="229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</row>
    <row r="27" spans="1:71" x14ac:dyDescent="0.25">
      <c r="A27" s="235" t="s">
        <v>111</v>
      </c>
      <c r="B27" s="205">
        <v>0.39</v>
      </c>
      <c r="C27" s="124"/>
      <c r="D27" s="233" t="s">
        <v>91</v>
      </c>
      <c r="E27" s="227">
        <f>'Purchase Summary'!B9</f>
        <v>559367.38</v>
      </c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</row>
    <row r="28" spans="1:71" x14ac:dyDescent="0.25">
      <c r="A28" s="233" t="s">
        <v>123</v>
      </c>
      <c r="B28" s="201">
        <v>0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</row>
    <row r="29" spans="1:71" x14ac:dyDescent="0.25">
      <c r="A29" s="233" t="s">
        <v>78</v>
      </c>
      <c r="B29" s="201">
        <v>22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</row>
    <row r="30" spans="1:71" x14ac:dyDescent="0.25">
      <c r="A30" s="233" t="s">
        <v>79</v>
      </c>
      <c r="B30" s="250">
        <f>'Level 2 Chargers'!E29+'Level 3 Chargers'!E29</f>
        <v>42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</row>
    <row r="31" spans="1:71" x14ac:dyDescent="0.25">
      <c r="A31" s="233" t="s">
        <v>88</v>
      </c>
      <c r="B31" s="251">
        <v>270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</row>
    <row r="32" spans="1:71" x14ac:dyDescent="0.2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</row>
    <row r="33" spans="1:71" ht="15.75" x14ac:dyDescent="0.25">
      <c r="A33" s="181"/>
      <c r="B33" s="252">
        <v>2024</v>
      </c>
      <c r="C33" s="252">
        <v>2025</v>
      </c>
      <c r="D33" s="252">
        <v>2026</v>
      </c>
      <c r="E33" s="252">
        <v>2027</v>
      </c>
      <c r="F33" s="252">
        <v>2028</v>
      </c>
      <c r="G33" s="252">
        <v>2029</v>
      </c>
      <c r="H33" s="252">
        <v>2030</v>
      </c>
      <c r="I33" s="252">
        <v>2031</v>
      </c>
      <c r="J33" s="252">
        <v>2032</v>
      </c>
      <c r="K33" s="252">
        <v>2033</v>
      </c>
      <c r="L33" s="252">
        <v>2034</v>
      </c>
      <c r="M33" s="252">
        <v>2035</v>
      </c>
      <c r="N33" s="252">
        <v>2036</v>
      </c>
      <c r="O33" s="252">
        <v>2037</v>
      </c>
      <c r="P33" s="252">
        <v>2038</v>
      </c>
      <c r="Q33" s="252">
        <v>2039</v>
      </c>
      <c r="R33" s="252">
        <v>2040</v>
      </c>
      <c r="S33" s="252">
        <v>2041</v>
      </c>
      <c r="T33" s="252">
        <v>2042</v>
      </c>
      <c r="U33" s="252">
        <v>2043</v>
      </c>
      <c r="V33" s="252">
        <v>2044</v>
      </c>
      <c r="W33" s="252">
        <v>2045</v>
      </c>
      <c r="X33" s="252">
        <v>2046</v>
      </c>
      <c r="Y33" s="252">
        <v>2047</v>
      </c>
      <c r="Z33" s="252">
        <v>2048</v>
      </c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</row>
    <row r="34" spans="1:71" x14ac:dyDescent="0.25">
      <c r="A34" s="233" t="s">
        <v>89</v>
      </c>
      <c r="B34" s="236">
        <f>'Level 2 Chargers'!G$57+'Level 3 Chargers'!G$57</f>
        <v>9.1870000000000012</v>
      </c>
      <c r="C34" s="236">
        <f>'Level 2 Chargers'!H$57+'Level 3 Chargers'!H$57</f>
        <v>11.119</v>
      </c>
      <c r="D34" s="236">
        <f>'Level 2 Chargers'!I$57+'Level 3 Chargers'!I$57</f>
        <v>13.051</v>
      </c>
      <c r="E34" s="236">
        <f>'Level 2 Chargers'!J$57+'Level 3 Chargers'!J$57</f>
        <v>14.983000000000002</v>
      </c>
      <c r="F34" s="236">
        <f>'Level 2 Chargers'!K$57+'Level 3 Chargers'!K$57</f>
        <v>16.914999999999999</v>
      </c>
      <c r="G34" s="236">
        <f>'Level 2 Chargers'!L$57+'Level 3 Chargers'!L$57</f>
        <v>18.847000000000001</v>
      </c>
      <c r="H34" s="236">
        <f>'Level 2 Chargers'!M$57+'Level 3 Chargers'!M$57</f>
        <v>20.779</v>
      </c>
      <c r="I34" s="236">
        <f>'Level 2 Chargers'!N$57+'Level 3 Chargers'!N$57</f>
        <v>22.711000000000002</v>
      </c>
      <c r="J34" s="236">
        <f>'Level 2 Chargers'!O$57+'Level 3 Chargers'!O$57</f>
        <v>24.643000000000001</v>
      </c>
      <c r="K34" s="236">
        <f>'Level 2 Chargers'!P$57+'Level 3 Chargers'!P$57</f>
        <v>26.574999999999999</v>
      </c>
      <c r="L34" s="236">
        <f>'Level 2 Chargers'!Q$57+'Level 3 Chargers'!Q$57</f>
        <v>28.506999999999998</v>
      </c>
      <c r="M34" s="236">
        <f>'Level 2 Chargers'!R$57+'Level 3 Chargers'!R$57</f>
        <v>30.438999999999997</v>
      </c>
      <c r="N34" s="236">
        <f>'Level 2 Chargers'!S$57+'Level 3 Chargers'!S$57</f>
        <v>32.371000000000002</v>
      </c>
      <c r="O34" s="236">
        <f>'Level 2 Chargers'!T$57+'Level 3 Chargers'!T$57</f>
        <v>34.302999999999997</v>
      </c>
      <c r="P34" s="236">
        <f>'Level 2 Chargers'!U$57+'Level 3 Chargers'!U$57</f>
        <v>36.234999999999999</v>
      </c>
      <c r="Q34" s="236">
        <f>'Level 2 Chargers'!V$57+'Level 3 Chargers'!V$57</f>
        <v>38.167000000000002</v>
      </c>
      <c r="R34" s="236">
        <f>'Level 2 Chargers'!W$57+'Level 3 Chargers'!W$57</f>
        <v>40.099000000000004</v>
      </c>
      <c r="S34" s="236">
        <f>'Level 2 Chargers'!X$57+'Level 3 Chargers'!X$57</f>
        <v>42</v>
      </c>
      <c r="T34" s="236">
        <f>'Level 2 Chargers'!Y$57+'Level 3 Chargers'!Y$57</f>
        <v>42</v>
      </c>
      <c r="U34" s="236">
        <f>'Level 2 Chargers'!Z$57+'Level 3 Chargers'!Z$57</f>
        <v>42</v>
      </c>
      <c r="V34" s="236">
        <f>'Level 2 Chargers'!AA$57+'Level 3 Chargers'!AA$57</f>
        <v>42</v>
      </c>
      <c r="W34" s="236">
        <f>'Level 2 Chargers'!AB$57+'Level 3 Chargers'!AB$57</f>
        <v>42</v>
      </c>
      <c r="X34" s="236">
        <f>'Level 2 Chargers'!AC$57+'Level 3 Chargers'!AC$57</f>
        <v>42</v>
      </c>
      <c r="Y34" s="236">
        <f>'Level 2 Chargers'!AD$57+'Level 3 Chargers'!AD$57</f>
        <v>42</v>
      </c>
      <c r="Z34" s="236">
        <f>'Level 2 Chargers'!AE$57+'Level 3 Chargers'!AE$57</f>
        <v>42</v>
      </c>
      <c r="AA34" s="230"/>
      <c r="AB34" s="230"/>
      <c r="AC34" s="230"/>
      <c r="AD34" s="230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</row>
    <row r="35" spans="1:71" x14ac:dyDescent="0.25">
      <c r="A35" s="233" t="s">
        <v>82</v>
      </c>
      <c r="B35" s="226">
        <f>'Level 2 Chargers'!G68+'Level 3 Chargers'!G68</f>
        <v>299.48099999999999</v>
      </c>
      <c r="C35" s="226">
        <f>'Level 2 Chargers'!H68+'Level 3 Chargers'!H68</f>
        <v>408.715125</v>
      </c>
      <c r="D35" s="226">
        <f>'Level 2 Chargers'!I68+'Level 3 Chargers'!I68</f>
        <v>517.94925000000001</v>
      </c>
      <c r="E35" s="226">
        <f>'Level 2 Chargers'!J68+'Level 3 Chargers'!J68</f>
        <v>627.18337500000007</v>
      </c>
      <c r="F35" s="226">
        <f>'Level 2 Chargers'!K68+'Level 3 Chargers'!K68</f>
        <v>736.41750000000002</v>
      </c>
      <c r="G35" s="226">
        <f>'Level 2 Chargers'!L68+'Level 3 Chargers'!L68</f>
        <v>845.65162500000008</v>
      </c>
      <c r="H35" s="226">
        <f>'Level 2 Chargers'!M68+'Level 3 Chargers'!M68</f>
        <v>954.88574999999992</v>
      </c>
      <c r="I35" s="226">
        <f>'Level 2 Chargers'!N68+'Level 3 Chargers'!N68</f>
        <v>1064.1198749999999</v>
      </c>
      <c r="J35" s="226">
        <f>'Level 2 Chargers'!O68+'Level 3 Chargers'!O68</f>
        <v>1173.354</v>
      </c>
      <c r="K35" s="226">
        <f>'Level 2 Chargers'!P68+'Level 3 Chargers'!P68</f>
        <v>1282.588125</v>
      </c>
      <c r="L35" s="226">
        <f>'Level 2 Chargers'!Q68+'Level 3 Chargers'!Q68</f>
        <v>1391.8222499999999</v>
      </c>
      <c r="M35" s="226">
        <f>'Level 2 Chargers'!R68+'Level 3 Chargers'!R68</f>
        <v>1501.0563749999999</v>
      </c>
      <c r="N35" s="226">
        <f>'Level 2 Chargers'!S68+'Level 3 Chargers'!S68</f>
        <v>1610.2905000000001</v>
      </c>
      <c r="O35" s="226">
        <f>'Level 2 Chargers'!T68+'Level 3 Chargers'!T68</f>
        <v>1719.524625</v>
      </c>
      <c r="P35" s="226">
        <f>'Level 2 Chargers'!U68+'Level 3 Chargers'!U68</f>
        <v>1828.75875</v>
      </c>
      <c r="Q35" s="226">
        <f>'Level 2 Chargers'!V68+'Level 3 Chargers'!V68</f>
        <v>1937.9928749999999</v>
      </c>
      <c r="R35" s="236">
        <f>'Level 2 Chargers'!W68+'Level 3 Chargers'!W68</f>
        <v>2047.2269999999999</v>
      </c>
      <c r="S35" s="236">
        <f>'Level 2 Chargers'!X68+'Level 3 Chargers'!X68</f>
        <v>2156.4611249999998</v>
      </c>
      <c r="T35" s="236">
        <f>'Level 2 Chargers'!Y68+'Level 3 Chargers'!Y68</f>
        <v>2241.1252500000001</v>
      </c>
      <c r="U35" s="236">
        <f>'Level 2 Chargers'!Z68+'Level 3 Chargers'!Z68</f>
        <v>2325.7893749999998</v>
      </c>
      <c r="V35" s="236">
        <f>'Level 2 Chargers'!AA68+'Level 3 Chargers'!AA68</f>
        <v>2410.4535000000005</v>
      </c>
      <c r="W35" s="236">
        <f>'Level 2 Chargers'!AB68+'Level 3 Chargers'!AB68</f>
        <v>2495.1176249999999</v>
      </c>
      <c r="X35" s="236">
        <f>'Level 2 Chargers'!AC68+'Level 3 Chargers'!AC68</f>
        <v>2579.7817499999996</v>
      </c>
      <c r="Y35" s="236">
        <f>'Level 2 Chargers'!AD68+'Level 3 Chargers'!AD68</f>
        <v>2664.4458750000003</v>
      </c>
      <c r="Z35" s="236">
        <f>'Level 2 Chargers'!AE68+'Level 3 Chargers'!AE68</f>
        <v>2749.1099999999997</v>
      </c>
      <c r="AA35" s="230"/>
      <c r="AB35" s="230"/>
      <c r="AC35" s="230"/>
      <c r="AD35" s="230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</row>
    <row r="36" spans="1:71" x14ac:dyDescent="0.25">
      <c r="A36" s="233" t="s">
        <v>81</v>
      </c>
      <c r="B36" s="227">
        <f t="shared" ref="B36:J36" si="0">B35*-$B$23</f>
        <v>-68.880629999999996</v>
      </c>
      <c r="C36" s="227">
        <f t="shared" si="0"/>
        <v>-94.004478750000004</v>
      </c>
      <c r="D36" s="227">
        <f t="shared" si="0"/>
        <v>-119.12832750000001</v>
      </c>
      <c r="E36" s="227">
        <f t="shared" si="0"/>
        <v>-144.25217625000002</v>
      </c>
      <c r="F36" s="227">
        <f t="shared" si="0"/>
        <v>-169.376025</v>
      </c>
      <c r="G36" s="227">
        <f t="shared" si="0"/>
        <v>-194.49987375000003</v>
      </c>
      <c r="H36" s="227">
        <f t="shared" si="0"/>
        <v>-219.62372249999999</v>
      </c>
      <c r="I36" s="227">
        <f t="shared" si="0"/>
        <v>-244.74757124999999</v>
      </c>
      <c r="J36" s="227">
        <f t="shared" si="0"/>
        <v>-269.87142</v>
      </c>
      <c r="K36" s="227">
        <f t="shared" ref="K36" si="1">K35*-$B$23</f>
        <v>-294.99526875000004</v>
      </c>
      <c r="L36" s="227">
        <f t="shared" ref="L36" si="2">L35*-$B$23</f>
        <v>-320.11911750000002</v>
      </c>
      <c r="M36" s="227">
        <f t="shared" ref="M36" si="3">M35*-$B$23</f>
        <v>-345.24296624999999</v>
      </c>
      <c r="N36" s="227">
        <f t="shared" ref="N36" si="4">N35*-$B$23</f>
        <v>-370.36681500000003</v>
      </c>
      <c r="O36" s="227">
        <f t="shared" ref="O36" si="5">O35*-$B$23</f>
        <v>-395.49066375000001</v>
      </c>
      <c r="P36" s="227">
        <f t="shared" ref="P36" si="6">P35*-$B$23</f>
        <v>-420.61451249999999</v>
      </c>
      <c r="Q36" s="227">
        <f t="shared" ref="Q36" si="7">Q35*-$B$23</f>
        <v>-445.73836125000003</v>
      </c>
      <c r="R36" s="227">
        <f t="shared" ref="R36" si="8">R35*-$B$23</f>
        <v>-470.86221</v>
      </c>
      <c r="S36" s="227">
        <f t="shared" ref="S36" si="9">S35*-$B$23</f>
        <v>-495.98605874999998</v>
      </c>
      <c r="T36" s="227">
        <f t="shared" ref="T36" si="10">T35*-$B$23</f>
        <v>-515.45880750000003</v>
      </c>
      <c r="U36" s="227">
        <f t="shared" ref="U36:Y36" si="11">U35*-$B$23</f>
        <v>-534.93155624999997</v>
      </c>
      <c r="V36" s="227">
        <f t="shared" ref="V36" si="12">V35*-$B$23</f>
        <v>-554.40430500000014</v>
      </c>
      <c r="W36" s="227">
        <f t="shared" si="11"/>
        <v>-573.87705374999996</v>
      </c>
      <c r="X36" s="227">
        <f t="shared" si="11"/>
        <v>-593.3498024999999</v>
      </c>
      <c r="Y36" s="227">
        <f t="shared" si="11"/>
        <v>-612.82255125000006</v>
      </c>
      <c r="Z36" s="227">
        <f t="shared" ref="Z36" si="13">Z35*-$B$23</f>
        <v>-632.2953</v>
      </c>
      <c r="AA36" s="231"/>
      <c r="AB36" s="231"/>
      <c r="AC36" s="231"/>
      <c r="AD36" s="231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</row>
    <row r="37" spans="1:71" x14ac:dyDescent="0.25">
      <c r="A37" s="234" t="s">
        <v>106</v>
      </c>
      <c r="B37" s="227">
        <f>IF($B$24=0,$B$24*B35+$B$28*B34,$B$24*B35+$B$28*B34-'Level 2 Chargers'!G69*'Grant vs No Grant Summary'!$B$24)</f>
        <v>0</v>
      </c>
      <c r="C37" s="227">
        <f>IF($B$24=0,$B$24*C35+$B$28*C34,$B$24*C35+$B$28*C34-'Level 2 Chargers'!H69*'Grant vs No Grant Summary'!$B$24)</f>
        <v>0</v>
      </c>
      <c r="D37" s="227">
        <f>IF($B$24=0,$B$24*D35+$B$28*D34,$B$24*D35+$B$28*D34-'Level 2 Chargers'!I69*'Grant vs No Grant Summary'!$B$24)</f>
        <v>0</v>
      </c>
      <c r="E37" s="237">
        <f>IF($B$25=0,$B$25*E35+$B$28*E34,$B$25*E35+$B$28*E34-'Level 2 Chargers'!J69*$B$25)</f>
        <v>187.10771625000001</v>
      </c>
      <c r="F37" s="237">
        <f>IF($B$25=0,$B$25*F35+$B$28*F34,$B$25*F35+$B$28*F34-'Level 2 Chargers'!K69*$B$25)</f>
        <v>220.12672500000002</v>
      </c>
      <c r="G37" s="237">
        <f>IF($B$25=0,$B$25*G35+$B$28*G34,$B$25*G35+$B$28*G34-'Level 2 Chargers'!L69*$B$25)</f>
        <v>253.14573375000003</v>
      </c>
      <c r="H37" s="237">
        <f>IF($B$25=0,$B$25*H35+$B$28*H34,$B$25*H35+$B$28*H34-'Level 2 Chargers'!M69*$B$25)</f>
        <v>286.16474249999999</v>
      </c>
      <c r="I37" s="237">
        <f>IF($B$25=0,$B$25*I35+$B$28*I34,$B$25*I35+$B$28*I34-'Level 2 Chargers'!N69*$B$25)</f>
        <v>319.18375125</v>
      </c>
      <c r="J37" s="237">
        <f>IF($B$25=0,$B$25*J35+$B$28*J34,$B$25*J35+$B$28*J34-'Level 2 Chargers'!O69*$B$25)</f>
        <v>352.20276000000001</v>
      </c>
      <c r="K37" s="237">
        <f>IF($B$25=0,$B$25*K35+$B$28*K34,$B$25*K35+$B$28*K34-'Level 2 Chargers'!P69*$B$25)</f>
        <v>385.22176875000002</v>
      </c>
      <c r="L37" s="237">
        <f>IF($B$25=0,$B$25*L35+$B$28*L34,$B$25*L35+$B$28*L34-'Level 2 Chargers'!Q69*$B$25)</f>
        <v>418.24077750000004</v>
      </c>
      <c r="M37" s="237">
        <f>IF($B$25=0,$B$25*M35+$B$28*M34,$B$25*M35+$B$28*M34-'Level 2 Chargers'!R69*$B$25)</f>
        <v>451.25978624999993</v>
      </c>
      <c r="N37" s="237">
        <f>IF($B$25=0,$B$25*N35+$B$28*N34,$B$25*N35+$B$28*N34-'Level 2 Chargers'!S69*$B$25)</f>
        <v>484.27879500000006</v>
      </c>
      <c r="O37" s="237">
        <f>IF($B$25=0,$B$25*O35+$B$28*O34,$B$25*O35+$B$28*O34-'Level 2 Chargers'!T69*$B$25)</f>
        <v>517.29780374999996</v>
      </c>
      <c r="P37" s="237">
        <f>IF($B$25=0,$B$25*P35+$B$28*P34,$B$25*P35+$B$28*P34-'Level 2 Chargers'!U69*$B$25)</f>
        <v>550.31681249999997</v>
      </c>
      <c r="Q37" s="237">
        <f>IF($B$25=0,$B$25*Q35+$B$28*Q34,$B$25*Q35+$B$28*Q34-'Level 2 Chargers'!V69*$B$25)</f>
        <v>583.33582124999998</v>
      </c>
      <c r="R37" s="237">
        <f>IF($B$25=0,$B$25*R35+$B$28*R34,$B$25*R35+$B$28*R34-'Level 2 Chargers'!W69*$B$25)</f>
        <v>616.35482999999999</v>
      </c>
      <c r="S37" s="237">
        <f>IF($B$25=0,$B$25*S35+$B$28*S34,$B$25*S35+$B$28*S34-'Level 2 Chargers'!X69*$B$25)</f>
        <v>649.37383875</v>
      </c>
      <c r="T37" s="237">
        <f>IF($B$25=0,$B$25*T35+$B$28*T34,$B$25*T35+$B$28*T34-'Level 2 Chargers'!Y69*$B$25)</f>
        <v>682.39284750000013</v>
      </c>
      <c r="U37" s="237">
        <f>IF($B$25=0,$B$25*U35+$B$28*U34,$B$25*U35+$B$28*U34-'Level 2 Chargers'!Z69*$B$25)</f>
        <v>715.41185625000003</v>
      </c>
      <c r="V37" s="237">
        <f>IF($B$25=0,$B$25*V35+$B$28*V34,$B$25*V35+$B$28*V34-'Level 2 Chargers'!AA69*$B$25)</f>
        <v>748.43086500000027</v>
      </c>
      <c r="W37" s="237">
        <f>IF($B$25=0,$B$25*W35+$B$28*W34,$B$25*W35+$B$28*W34-'Level 2 Chargers'!AB69*$B$25)</f>
        <v>781.44987375000005</v>
      </c>
      <c r="X37" s="237">
        <f>IF($B$25=0,$B$25*X35+$B$28*X34,$B$25*X35+$B$28*X34-'Level 2 Chargers'!AC69*$B$25)</f>
        <v>814.46888249999995</v>
      </c>
      <c r="Y37" s="237">
        <f>IF($B$25=0,$B$25*Y35+$B$28*Y34,$B$25*Y35+$B$28*Y34-'Level 2 Chargers'!AD69*$B$25)</f>
        <v>847.4878912500003</v>
      </c>
      <c r="Z37" s="237">
        <f>IF($B$25=0,$B$25*Z35+$B$28*Z34,$B$25*Z35+$B$28*Z34-'Level 2 Chargers'!AE69*$B$25)</f>
        <v>880.50689999999986</v>
      </c>
      <c r="AA37" s="232"/>
      <c r="AB37" s="232"/>
      <c r="AC37" s="232"/>
      <c r="AD37" s="232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</row>
    <row r="38" spans="1:71" x14ac:dyDescent="0.25">
      <c r="A38" s="235" t="s">
        <v>107</v>
      </c>
      <c r="B38" s="227">
        <f>IF($B$26=0,$B$26*B35+$B$28*B34,$B$26*B35+$B$28*B34-'Level 2 Chargers'!G69*'Grant vs No Grant Summary'!$B$26)</f>
        <v>88.050690000000003</v>
      </c>
      <c r="C38" s="227">
        <f>IF($B$26=0,$B$26*C35+$B$28*C34,$B$26*C35+$B$28*C34-'Level 2 Chargers'!H69*'Grant vs No Grant Summary'!$B$26)</f>
        <v>121.06969874999999</v>
      </c>
      <c r="D38" s="227">
        <f>IF($B$26=0,$B$26*D35+$B$28*D34,$B$26*D35+$B$28*D34-'Level 2 Chargers'!I69*'Grant vs No Grant Summary'!$B$26)</f>
        <v>154.08870750000003</v>
      </c>
      <c r="E38" s="237">
        <f>IF($B$27=0,$B$27*E35+$B$28*E34,$B$27*E35+$B$28*E34-'Level 2 Chargers'!J69*'Grant vs No Grant Summary'!$B$27)</f>
        <v>187.10771625000001</v>
      </c>
      <c r="F38" s="237">
        <f>IF($B$27=0,$B$27*F35+$B$28*F34,$B$27*F35+$B$28*F34-'Level 2 Chargers'!K69*'Grant vs No Grant Summary'!$B$27)</f>
        <v>220.12672500000002</v>
      </c>
      <c r="G38" s="237">
        <f>IF($B$27=0,$B$27*G35+$B$28*G34,$B$27*G35+$B$28*G34-'Level 2 Chargers'!L69*'Grant vs No Grant Summary'!$B$27)</f>
        <v>253.14573375000003</v>
      </c>
      <c r="H38" s="237">
        <f>IF($B$27=0,$B$27*H35+$B$28*H34,$B$27*H35+$B$28*H34-'Level 2 Chargers'!M69*'Grant vs No Grant Summary'!$B$27)</f>
        <v>286.16474249999999</v>
      </c>
      <c r="I38" s="237">
        <f>IF($B$27=0,$B$27*I35+$B$28*I34,$B$27*I35+$B$28*I34-'Level 2 Chargers'!N69*'Grant vs No Grant Summary'!$B$27)</f>
        <v>319.18375125</v>
      </c>
      <c r="J38" s="237">
        <f>IF($B$27=0,$B$27*J35+$B$28*J34,$B$27*J35+$B$28*J34-'Level 2 Chargers'!O69*'Grant vs No Grant Summary'!$B$27)</f>
        <v>352.20276000000001</v>
      </c>
      <c r="K38" s="237">
        <f>IF($B$27=0,$B$27*K35+$B$28*K34,$B$27*K35+$B$28*K34-'Level 2 Chargers'!P69*'Grant vs No Grant Summary'!$B$27)</f>
        <v>385.22176875000002</v>
      </c>
      <c r="L38" s="237">
        <f>IF($B$27=0,$B$27*L35+$B$28*L34,$B$27*L35+$B$28*L34-'Level 2 Chargers'!Q69*'Grant vs No Grant Summary'!$B$27)</f>
        <v>418.24077750000004</v>
      </c>
      <c r="M38" s="237">
        <f>IF($B$27=0,$B$27*M35+$B$28*M34,$B$27*M35+$B$28*M34-'Level 2 Chargers'!R69*'Grant vs No Grant Summary'!$B$27)</f>
        <v>451.25978624999993</v>
      </c>
      <c r="N38" s="237">
        <f>IF($B$27=0,$B$27*N35+$B$28*N34,$B$27*N35+$B$28*N34-'Level 2 Chargers'!S69*'Grant vs No Grant Summary'!$B$27)</f>
        <v>484.27879500000006</v>
      </c>
      <c r="O38" s="237">
        <f>IF($B$27=0,$B$27*O35+$B$28*O34,$B$27*O35+$B$28*O34-'Level 2 Chargers'!T69*'Grant vs No Grant Summary'!$B$27)</f>
        <v>517.29780374999996</v>
      </c>
      <c r="P38" s="237">
        <f>IF($B$27=0,$B$27*P35+$B$28*P34,$B$27*P35+$B$28*P34-'Level 2 Chargers'!U69*'Grant vs No Grant Summary'!$B$27)</f>
        <v>550.31681249999997</v>
      </c>
      <c r="Q38" s="237">
        <f>IF($B$27=0,$B$27*Q35+$B$28*Q34,$B$27*Q35+$B$28*Q34-'Level 2 Chargers'!V69*'Grant vs No Grant Summary'!$B$27)</f>
        <v>583.33582124999998</v>
      </c>
      <c r="R38" s="237">
        <f>IF($B$27=0,$B$27*R35+$B$28*R34,$B$27*R35+$B$28*R34-'Level 2 Chargers'!W69*'Grant vs No Grant Summary'!$B$27)</f>
        <v>616.35482999999999</v>
      </c>
      <c r="S38" s="237">
        <f>IF($B$27=0,$B$27*S35+$B$28*S34,$B$27*S35+$B$28*S34-'Level 2 Chargers'!X69*'Grant vs No Grant Summary'!$B$27)</f>
        <v>649.37383875</v>
      </c>
      <c r="T38" s="237">
        <f>IF($B$27=0,$B$27*T35+$B$28*T34,$B$27*T35+$B$28*T34-'Level 2 Chargers'!Y69*'Grant vs No Grant Summary'!$B$27)</f>
        <v>682.39284750000013</v>
      </c>
      <c r="U38" s="237">
        <f>IF($B$27=0,$B$27*U35+$B$28*U34,$B$27*U35+$B$28*U34-'Level 2 Chargers'!Z69*'Grant vs No Grant Summary'!$B$27)</f>
        <v>715.41185625000003</v>
      </c>
      <c r="V38" s="237">
        <f>IF($B$27=0,$B$27*V35+$B$28*V34,$B$27*V35+$B$28*V34-'Level 2 Chargers'!AA69*'Grant vs No Grant Summary'!$B$27)</f>
        <v>748.43086500000027</v>
      </c>
      <c r="W38" s="237">
        <f>IF($B$27=0,$B$27*W35+$B$28*W34,$B$27*W35+$B$28*W34-'Level 2 Chargers'!AB69*'Grant vs No Grant Summary'!$B$27)</f>
        <v>781.44987375000005</v>
      </c>
      <c r="X38" s="237">
        <f>IF($B$27=0,$B$27*X35+$B$28*X34,$B$27*X35+$B$28*X34-'Level 2 Chargers'!AC69*'Grant vs No Grant Summary'!$B$27)</f>
        <v>814.46888249999995</v>
      </c>
      <c r="Y38" s="237">
        <f>IF($B$27=0,$B$27*Y35+$B$28*Y34,$B$27*Y35+$B$28*Y34-'Level 2 Chargers'!AD69*'Grant vs No Grant Summary'!$B$27)</f>
        <v>847.4878912500003</v>
      </c>
      <c r="Z38" s="237">
        <f>IF($B$27=0,$B$27*Z35+$B$28*Z34,$B$27*Z35+$B$28*Z34-'Level 2 Chargers'!AE69*'Grant vs No Grant Summary'!$B$27)</f>
        <v>880.50689999999986</v>
      </c>
      <c r="AA38" s="232"/>
      <c r="AB38" s="232"/>
      <c r="AC38" s="232"/>
      <c r="AD38" s="232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</row>
    <row r="39" spans="1:71" x14ac:dyDescent="0.25">
      <c r="A39" s="233" t="s">
        <v>80</v>
      </c>
      <c r="B39" s="238">
        <f t="shared" ref="B39:J40" si="14">B35*365</f>
        <v>109310.565</v>
      </c>
      <c r="C39" s="238">
        <f t="shared" si="14"/>
        <v>149181.020625</v>
      </c>
      <c r="D39" s="238">
        <f t="shared" si="14"/>
        <v>189051.47625000001</v>
      </c>
      <c r="E39" s="238">
        <f t="shared" si="14"/>
        <v>228921.93187500004</v>
      </c>
      <c r="F39" s="238">
        <f t="shared" si="14"/>
        <v>268792.38750000001</v>
      </c>
      <c r="G39" s="238">
        <f t="shared" si="14"/>
        <v>308662.84312500001</v>
      </c>
      <c r="H39" s="238">
        <f t="shared" si="14"/>
        <v>348533.29874999996</v>
      </c>
      <c r="I39" s="238">
        <f t="shared" si="14"/>
        <v>388403.75437499996</v>
      </c>
      <c r="J39" s="238">
        <f t="shared" si="14"/>
        <v>428274.21</v>
      </c>
      <c r="K39" s="238">
        <f t="shared" ref="K39:R39" si="15">K35*365</f>
        <v>468144.66562500002</v>
      </c>
      <c r="L39" s="238">
        <f t="shared" si="15"/>
        <v>508015.12124999997</v>
      </c>
      <c r="M39" s="238">
        <f t="shared" si="15"/>
        <v>547885.57687499991</v>
      </c>
      <c r="N39" s="238">
        <f t="shared" si="15"/>
        <v>587756.03249999997</v>
      </c>
      <c r="O39" s="238">
        <f t="shared" si="15"/>
        <v>627626.48812500003</v>
      </c>
      <c r="P39" s="238">
        <f t="shared" si="15"/>
        <v>667496.94374999998</v>
      </c>
      <c r="Q39" s="238">
        <f t="shared" si="15"/>
        <v>707367.39937499992</v>
      </c>
      <c r="R39" s="238">
        <f t="shared" si="15"/>
        <v>747237.85499999998</v>
      </c>
      <c r="S39" s="238">
        <f t="shared" ref="S39:V39" si="16">S35*365</f>
        <v>787108.31062499993</v>
      </c>
      <c r="T39" s="238">
        <f t="shared" si="16"/>
        <v>818010.71625000006</v>
      </c>
      <c r="U39" s="238">
        <f t="shared" si="16"/>
        <v>848913.12187499995</v>
      </c>
      <c r="V39" s="238">
        <f t="shared" si="16"/>
        <v>879815.5275000002</v>
      </c>
      <c r="W39" s="238">
        <f t="shared" ref="W39:Y39" si="17">W35*365</f>
        <v>910717.93312499998</v>
      </c>
      <c r="X39" s="238">
        <f t="shared" si="17"/>
        <v>941620.33874999988</v>
      </c>
      <c r="Y39" s="238">
        <f t="shared" si="17"/>
        <v>972522.74437500013</v>
      </c>
      <c r="Z39" s="238">
        <f t="shared" ref="Z39" si="18">Z35*365</f>
        <v>1003425.1499999999</v>
      </c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</row>
    <row r="40" spans="1:71" x14ac:dyDescent="0.25">
      <c r="A40" s="233" t="s">
        <v>84</v>
      </c>
      <c r="B40" s="227">
        <f t="shared" si="14"/>
        <v>-25141.429949999998</v>
      </c>
      <c r="C40" s="227">
        <f t="shared" si="14"/>
        <v>-34311.634743750001</v>
      </c>
      <c r="D40" s="227">
        <f t="shared" si="14"/>
        <v>-43481.839537500004</v>
      </c>
      <c r="E40" s="227">
        <f t="shared" si="14"/>
        <v>-52652.044331250007</v>
      </c>
      <c r="F40" s="227">
        <f t="shared" si="14"/>
        <v>-61822.249125000002</v>
      </c>
      <c r="G40" s="227">
        <f t="shared" si="14"/>
        <v>-70992.45391875002</v>
      </c>
      <c r="H40" s="227">
        <f t="shared" si="14"/>
        <v>-80162.658712499993</v>
      </c>
      <c r="I40" s="227">
        <f t="shared" si="14"/>
        <v>-89332.863506249996</v>
      </c>
      <c r="J40" s="227">
        <f t="shared" si="14"/>
        <v>-98503.068299999999</v>
      </c>
      <c r="K40" s="227">
        <f t="shared" ref="K40:R40" si="19">K36*365</f>
        <v>-107673.27309375002</v>
      </c>
      <c r="L40" s="227">
        <f t="shared" si="19"/>
        <v>-116843.4778875</v>
      </c>
      <c r="M40" s="227">
        <f t="shared" si="19"/>
        <v>-126013.68268124999</v>
      </c>
      <c r="N40" s="227">
        <f t="shared" si="19"/>
        <v>-135183.88747500003</v>
      </c>
      <c r="O40" s="227">
        <f t="shared" si="19"/>
        <v>-144354.09226875001</v>
      </c>
      <c r="P40" s="227">
        <f t="shared" si="19"/>
        <v>-153524.2970625</v>
      </c>
      <c r="Q40" s="227">
        <f t="shared" si="19"/>
        <v>-162694.50185625002</v>
      </c>
      <c r="R40" s="227">
        <f t="shared" si="19"/>
        <v>-171864.70665000001</v>
      </c>
      <c r="S40" s="227">
        <f t="shared" ref="S40:V40" si="20">S36*365</f>
        <v>-181034.91144375</v>
      </c>
      <c r="T40" s="227">
        <f t="shared" si="20"/>
        <v>-188142.46473750001</v>
      </c>
      <c r="U40" s="227">
        <f t="shared" si="20"/>
        <v>-195250.01803124999</v>
      </c>
      <c r="V40" s="227">
        <f t="shared" si="20"/>
        <v>-202357.57132500006</v>
      </c>
      <c r="W40" s="227">
        <f t="shared" ref="W40:Y40" si="21">W36*365</f>
        <v>-209465.12461874998</v>
      </c>
      <c r="X40" s="227">
        <f t="shared" si="21"/>
        <v>-216572.67791249996</v>
      </c>
      <c r="Y40" s="227">
        <f t="shared" si="21"/>
        <v>-223680.23120625003</v>
      </c>
      <c r="Z40" s="227">
        <f t="shared" ref="Z40" si="22">Z36*365</f>
        <v>-230787.78450000001</v>
      </c>
      <c r="AA40" s="231"/>
      <c r="AB40" s="231"/>
      <c r="AC40" s="231"/>
      <c r="AD40" s="231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</row>
    <row r="41" spans="1:71" x14ac:dyDescent="0.25">
      <c r="A41" s="233" t="s">
        <v>145</v>
      </c>
      <c r="B41" s="227">
        <f t="shared" ref="B41:Z41" si="23">-$B$31*12*4</f>
        <v>-12960</v>
      </c>
      <c r="C41" s="227">
        <f t="shared" si="23"/>
        <v>-12960</v>
      </c>
      <c r="D41" s="227">
        <f t="shared" si="23"/>
        <v>-12960</v>
      </c>
      <c r="E41" s="227">
        <f t="shared" si="23"/>
        <v>-12960</v>
      </c>
      <c r="F41" s="227">
        <f t="shared" si="23"/>
        <v>-12960</v>
      </c>
      <c r="G41" s="227">
        <f t="shared" si="23"/>
        <v>-12960</v>
      </c>
      <c r="H41" s="227">
        <f t="shared" si="23"/>
        <v>-12960</v>
      </c>
      <c r="I41" s="227">
        <f t="shared" si="23"/>
        <v>-12960</v>
      </c>
      <c r="J41" s="227">
        <f t="shared" si="23"/>
        <v>-12960</v>
      </c>
      <c r="K41" s="227">
        <f t="shared" si="23"/>
        <v>-12960</v>
      </c>
      <c r="L41" s="227">
        <f t="shared" si="23"/>
        <v>-12960</v>
      </c>
      <c r="M41" s="227">
        <f t="shared" si="23"/>
        <v>-12960</v>
      </c>
      <c r="N41" s="227">
        <f t="shared" si="23"/>
        <v>-12960</v>
      </c>
      <c r="O41" s="227">
        <f t="shared" si="23"/>
        <v>-12960</v>
      </c>
      <c r="P41" s="227">
        <f t="shared" si="23"/>
        <v>-12960</v>
      </c>
      <c r="Q41" s="227">
        <f t="shared" si="23"/>
        <v>-12960</v>
      </c>
      <c r="R41" s="227">
        <f t="shared" si="23"/>
        <v>-12960</v>
      </c>
      <c r="S41" s="227">
        <f t="shared" si="23"/>
        <v>-12960</v>
      </c>
      <c r="T41" s="227">
        <f t="shared" si="23"/>
        <v>-12960</v>
      </c>
      <c r="U41" s="227">
        <f t="shared" si="23"/>
        <v>-12960</v>
      </c>
      <c r="V41" s="227">
        <f t="shared" si="23"/>
        <v>-12960</v>
      </c>
      <c r="W41" s="227">
        <f t="shared" si="23"/>
        <v>-12960</v>
      </c>
      <c r="X41" s="227">
        <f t="shared" si="23"/>
        <v>-12960</v>
      </c>
      <c r="Y41" s="227">
        <f t="shared" si="23"/>
        <v>-12960</v>
      </c>
      <c r="Z41" s="227">
        <f t="shared" si="23"/>
        <v>-12960</v>
      </c>
      <c r="AA41" s="231"/>
      <c r="AB41" s="231"/>
      <c r="AC41" s="231"/>
      <c r="AD41" s="231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</row>
    <row r="42" spans="1:71" x14ac:dyDescent="0.25">
      <c r="A42" s="233" t="s">
        <v>146</v>
      </c>
      <c r="B42" s="227">
        <f t="shared" ref="B42:Z42" si="24">-$B$29*$B$30</f>
        <v>-924</v>
      </c>
      <c r="C42" s="227">
        <f t="shared" si="24"/>
        <v>-924</v>
      </c>
      <c r="D42" s="227">
        <f t="shared" si="24"/>
        <v>-924</v>
      </c>
      <c r="E42" s="227">
        <f t="shared" si="24"/>
        <v>-924</v>
      </c>
      <c r="F42" s="227">
        <f t="shared" si="24"/>
        <v>-924</v>
      </c>
      <c r="G42" s="227">
        <f t="shared" si="24"/>
        <v>-924</v>
      </c>
      <c r="H42" s="227">
        <f t="shared" si="24"/>
        <v>-924</v>
      </c>
      <c r="I42" s="227">
        <f t="shared" si="24"/>
        <v>-924</v>
      </c>
      <c r="J42" s="227">
        <f t="shared" si="24"/>
        <v>-924</v>
      </c>
      <c r="K42" s="227">
        <f t="shared" si="24"/>
        <v>-924</v>
      </c>
      <c r="L42" s="227">
        <f t="shared" si="24"/>
        <v>-924</v>
      </c>
      <c r="M42" s="227">
        <f t="shared" si="24"/>
        <v>-924</v>
      </c>
      <c r="N42" s="227">
        <f t="shared" si="24"/>
        <v>-924</v>
      </c>
      <c r="O42" s="227">
        <f t="shared" si="24"/>
        <v>-924</v>
      </c>
      <c r="P42" s="227">
        <f t="shared" si="24"/>
        <v>-924</v>
      </c>
      <c r="Q42" s="227">
        <f t="shared" si="24"/>
        <v>-924</v>
      </c>
      <c r="R42" s="227">
        <f t="shared" si="24"/>
        <v>-924</v>
      </c>
      <c r="S42" s="227">
        <f t="shared" si="24"/>
        <v>-924</v>
      </c>
      <c r="T42" s="227">
        <f t="shared" si="24"/>
        <v>-924</v>
      </c>
      <c r="U42" s="227">
        <f t="shared" si="24"/>
        <v>-924</v>
      </c>
      <c r="V42" s="227">
        <f t="shared" si="24"/>
        <v>-924</v>
      </c>
      <c r="W42" s="227">
        <f t="shared" si="24"/>
        <v>-924</v>
      </c>
      <c r="X42" s="227">
        <f t="shared" si="24"/>
        <v>-924</v>
      </c>
      <c r="Y42" s="227">
        <f t="shared" si="24"/>
        <v>-924</v>
      </c>
      <c r="Z42" s="227">
        <f t="shared" si="24"/>
        <v>-924</v>
      </c>
      <c r="AA42" s="231"/>
      <c r="AB42" s="231"/>
      <c r="AC42" s="231"/>
      <c r="AD42" s="231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</row>
    <row r="43" spans="1:71" x14ac:dyDescent="0.25">
      <c r="A43" s="234" t="s">
        <v>128</v>
      </c>
      <c r="B43" s="227">
        <f t="shared" ref="B43:J43" si="25">B37*365</f>
        <v>0</v>
      </c>
      <c r="C43" s="227">
        <f t="shared" si="25"/>
        <v>0</v>
      </c>
      <c r="D43" s="227">
        <f t="shared" si="25"/>
        <v>0</v>
      </c>
      <c r="E43" s="227">
        <f t="shared" si="25"/>
        <v>68294.316431250001</v>
      </c>
      <c r="F43" s="227">
        <f t="shared" si="25"/>
        <v>80346.254625000001</v>
      </c>
      <c r="G43" s="227">
        <f t="shared" si="25"/>
        <v>92398.192818750016</v>
      </c>
      <c r="H43" s="227">
        <f t="shared" si="25"/>
        <v>104450.1310125</v>
      </c>
      <c r="I43" s="227">
        <f t="shared" si="25"/>
        <v>116502.06920625</v>
      </c>
      <c r="J43" s="227">
        <f t="shared" si="25"/>
        <v>128554.0074</v>
      </c>
      <c r="K43" s="227">
        <f t="shared" ref="K43:R43" si="26">K37*365</f>
        <v>140605.94559375002</v>
      </c>
      <c r="L43" s="227">
        <f t="shared" si="26"/>
        <v>152657.8837875</v>
      </c>
      <c r="M43" s="227">
        <f t="shared" si="26"/>
        <v>164709.82198124999</v>
      </c>
      <c r="N43" s="227">
        <f t="shared" si="26"/>
        <v>176761.76017500003</v>
      </c>
      <c r="O43" s="227">
        <f t="shared" si="26"/>
        <v>188813.69836874999</v>
      </c>
      <c r="P43" s="227">
        <f t="shared" si="26"/>
        <v>200865.63656249997</v>
      </c>
      <c r="Q43" s="227">
        <f t="shared" si="26"/>
        <v>212917.57475624999</v>
      </c>
      <c r="R43" s="227">
        <f t="shared" si="26"/>
        <v>224969.51295</v>
      </c>
      <c r="S43" s="227">
        <f t="shared" ref="S43:V43" si="27">S37*365</f>
        <v>237021.45114374999</v>
      </c>
      <c r="T43" s="227">
        <f t="shared" si="27"/>
        <v>249073.38933750003</v>
      </c>
      <c r="U43" s="227">
        <f t="shared" si="27"/>
        <v>261125.32753125002</v>
      </c>
      <c r="V43" s="227">
        <f t="shared" si="27"/>
        <v>273177.26572500012</v>
      </c>
      <c r="W43" s="227">
        <f t="shared" ref="W43:Y43" si="28">W37*365</f>
        <v>285229.20391874999</v>
      </c>
      <c r="X43" s="227">
        <f t="shared" si="28"/>
        <v>297281.14211249998</v>
      </c>
      <c r="Y43" s="227">
        <f t="shared" si="28"/>
        <v>309333.08030625014</v>
      </c>
      <c r="Z43" s="227">
        <f t="shared" ref="Z43" si="29">Z37*365</f>
        <v>321385.01849999995</v>
      </c>
      <c r="AA43" s="231"/>
      <c r="AB43" s="231"/>
      <c r="AC43" s="231"/>
      <c r="AD43" s="231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</row>
    <row r="44" spans="1:71" ht="15.75" thickBot="1" x14ac:dyDescent="0.3">
      <c r="A44" s="239" t="s">
        <v>129</v>
      </c>
      <c r="B44" s="240">
        <f>B38*365</f>
        <v>32138.501850000001</v>
      </c>
      <c r="C44" s="240">
        <f t="shared" ref="C44:V44" si="30">C38*365</f>
        <v>44190.440043749993</v>
      </c>
      <c r="D44" s="240">
        <f t="shared" si="30"/>
        <v>56242.378237500008</v>
      </c>
      <c r="E44" s="240">
        <f t="shared" si="30"/>
        <v>68294.316431250001</v>
      </c>
      <c r="F44" s="240">
        <f t="shared" si="30"/>
        <v>80346.254625000001</v>
      </c>
      <c r="G44" s="240">
        <f t="shared" si="30"/>
        <v>92398.192818750016</v>
      </c>
      <c r="H44" s="240">
        <f t="shared" si="30"/>
        <v>104450.1310125</v>
      </c>
      <c r="I44" s="240">
        <f t="shared" si="30"/>
        <v>116502.06920625</v>
      </c>
      <c r="J44" s="240">
        <f t="shared" si="30"/>
        <v>128554.0074</v>
      </c>
      <c r="K44" s="240">
        <f t="shared" si="30"/>
        <v>140605.94559375002</v>
      </c>
      <c r="L44" s="240">
        <f t="shared" si="30"/>
        <v>152657.8837875</v>
      </c>
      <c r="M44" s="240">
        <f t="shared" si="30"/>
        <v>164709.82198124999</v>
      </c>
      <c r="N44" s="240">
        <f t="shared" si="30"/>
        <v>176761.76017500003</v>
      </c>
      <c r="O44" s="240">
        <f t="shared" si="30"/>
        <v>188813.69836874999</v>
      </c>
      <c r="P44" s="240">
        <f t="shared" si="30"/>
        <v>200865.63656249997</v>
      </c>
      <c r="Q44" s="240">
        <f t="shared" si="30"/>
        <v>212917.57475624999</v>
      </c>
      <c r="R44" s="240">
        <f t="shared" si="30"/>
        <v>224969.51295</v>
      </c>
      <c r="S44" s="240">
        <f t="shared" si="30"/>
        <v>237021.45114374999</v>
      </c>
      <c r="T44" s="240">
        <f t="shared" si="30"/>
        <v>249073.38933750003</v>
      </c>
      <c r="U44" s="240">
        <f t="shared" si="30"/>
        <v>261125.32753125002</v>
      </c>
      <c r="V44" s="240">
        <f t="shared" si="30"/>
        <v>273177.26572500012</v>
      </c>
      <c r="W44" s="240">
        <f t="shared" ref="W44:Y44" si="31">W38*365</f>
        <v>285229.20391874999</v>
      </c>
      <c r="X44" s="240">
        <f t="shared" si="31"/>
        <v>297281.14211249998</v>
      </c>
      <c r="Y44" s="240">
        <f t="shared" si="31"/>
        <v>309333.08030625014</v>
      </c>
      <c r="Z44" s="240">
        <f t="shared" ref="Z44" si="32">Z38*365</f>
        <v>321385.01849999995</v>
      </c>
      <c r="AA44" s="231"/>
      <c r="AB44" s="231"/>
      <c r="AC44" s="231"/>
      <c r="AD44" s="231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</row>
    <row r="45" spans="1:71" x14ac:dyDescent="0.25">
      <c r="A45" s="241" t="s">
        <v>124</v>
      </c>
      <c r="B45" s="242">
        <f t="shared" ref="B45:V45" si="33">SUM(B40:B43)</f>
        <v>-39025.429949999998</v>
      </c>
      <c r="C45" s="242">
        <f t="shared" si="33"/>
        <v>-48195.634743750001</v>
      </c>
      <c r="D45" s="242">
        <f t="shared" si="33"/>
        <v>-57365.839537500004</v>
      </c>
      <c r="E45" s="242">
        <f t="shared" si="33"/>
        <v>1758.2720999999874</v>
      </c>
      <c r="F45" s="242">
        <f t="shared" si="33"/>
        <v>4640.0054999999993</v>
      </c>
      <c r="G45" s="242">
        <f t="shared" si="33"/>
        <v>7521.7388999999966</v>
      </c>
      <c r="H45" s="242">
        <f t="shared" si="33"/>
        <v>10403.472300000009</v>
      </c>
      <c r="I45" s="242">
        <f t="shared" si="33"/>
        <v>13285.205700000006</v>
      </c>
      <c r="J45" s="242">
        <f t="shared" si="33"/>
        <v>16166.939100000003</v>
      </c>
      <c r="K45" s="242">
        <f>SUM(K40:K43)</f>
        <v>19048.672500000001</v>
      </c>
      <c r="L45" s="242">
        <f>SUM(L40:L43)</f>
        <v>21930.405899999998</v>
      </c>
      <c r="M45" s="242">
        <f t="shared" si="33"/>
        <v>24812.13930000001</v>
      </c>
      <c r="N45" s="242">
        <f t="shared" si="33"/>
        <v>27693.872700000007</v>
      </c>
      <c r="O45" s="242">
        <f t="shared" si="33"/>
        <v>30575.606099999975</v>
      </c>
      <c r="P45" s="242">
        <f t="shared" si="33"/>
        <v>33457.339499999973</v>
      </c>
      <c r="Q45" s="242">
        <f t="shared" si="33"/>
        <v>36339.07289999997</v>
      </c>
      <c r="R45" s="242">
        <f t="shared" si="33"/>
        <v>39220.806299999997</v>
      </c>
      <c r="S45" s="242">
        <f t="shared" si="33"/>
        <v>42102.539699999994</v>
      </c>
      <c r="T45" s="242">
        <f t="shared" si="33"/>
        <v>47046.924600000028</v>
      </c>
      <c r="U45" s="242">
        <f t="shared" si="33"/>
        <v>51991.309500000032</v>
      </c>
      <c r="V45" s="242">
        <f t="shared" si="33"/>
        <v>56935.694400000066</v>
      </c>
      <c r="W45" s="242">
        <f t="shared" ref="W45:Y45" si="34">SUM(W40:W43)</f>
        <v>61880.079300000012</v>
      </c>
      <c r="X45" s="242">
        <f t="shared" si="34"/>
        <v>66824.464200000017</v>
      </c>
      <c r="Y45" s="242">
        <f t="shared" si="34"/>
        <v>71768.849100000109</v>
      </c>
      <c r="Z45" s="243">
        <f t="shared" ref="Z45" si="35">SUM(Z40:Z43)</f>
        <v>76713.233999999939</v>
      </c>
      <c r="AA45" s="231"/>
      <c r="AB45" s="231"/>
      <c r="AC45" s="231"/>
      <c r="AD45" s="231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</row>
    <row r="46" spans="1:71" ht="15.75" thickBot="1" x14ac:dyDescent="0.3">
      <c r="A46" s="244" t="s">
        <v>127</v>
      </c>
      <c r="B46" s="245">
        <f>B$5+B45</f>
        <v>-180223.24994999994</v>
      </c>
      <c r="C46" s="245">
        <f>B46+C45</f>
        <v>-228418.88469374995</v>
      </c>
      <c r="D46" s="245">
        <f t="shared" ref="D46:V46" si="36">C46+D45</f>
        <v>-285784.72423124994</v>
      </c>
      <c r="E46" s="245">
        <f t="shared" si="36"/>
        <v>-284026.45213124994</v>
      </c>
      <c r="F46" s="245">
        <f t="shared" si="36"/>
        <v>-279386.44663124997</v>
      </c>
      <c r="G46" s="245">
        <f t="shared" si="36"/>
        <v>-271864.70773124998</v>
      </c>
      <c r="H46" s="245">
        <f t="shared" si="36"/>
        <v>-261461.23543124995</v>
      </c>
      <c r="I46" s="245">
        <f t="shared" si="36"/>
        <v>-248176.02973124996</v>
      </c>
      <c r="J46" s="245">
        <f t="shared" si="36"/>
        <v>-232009.09063124994</v>
      </c>
      <c r="K46" s="245">
        <f t="shared" si="36"/>
        <v>-212960.41813124996</v>
      </c>
      <c r="L46" s="245">
        <f t="shared" si="36"/>
        <v>-191030.01223124994</v>
      </c>
      <c r="M46" s="245">
        <f t="shared" si="36"/>
        <v>-166217.87293124993</v>
      </c>
      <c r="N46" s="245">
        <f t="shared" si="36"/>
        <v>-138524.00023124993</v>
      </c>
      <c r="O46" s="245">
        <f t="shared" si="36"/>
        <v>-107948.39413124995</v>
      </c>
      <c r="P46" s="245">
        <f t="shared" si="36"/>
        <v>-74491.054631249979</v>
      </c>
      <c r="Q46" s="245">
        <f t="shared" si="36"/>
        <v>-38151.981731250009</v>
      </c>
      <c r="R46" s="245">
        <f t="shared" si="36"/>
        <v>1068.8245687499875</v>
      </c>
      <c r="S46" s="245">
        <f t="shared" si="36"/>
        <v>43171.364268749981</v>
      </c>
      <c r="T46" s="245">
        <f t="shared" si="36"/>
        <v>90218.288868750009</v>
      </c>
      <c r="U46" s="245">
        <f t="shared" si="36"/>
        <v>142209.59836875004</v>
      </c>
      <c r="V46" s="245">
        <f t="shared" si="36"/>
        <v>199145.29276875011</v>
      </c>
      <c r="W46" s="245">
        <f t="shared" ref="W46" si="37">V46+W45</f>
        <v>261025.37206875012</v>
      </c>
      <c r="X46" s="245">
        <f t="shared" ref="X46" si="38">W46+X45</f>
        <v>327849.83626875014</v>
      </c>
      <c r="Y46" s="245">
        <f t="shared" ref="Y46" si="39">X46+Y45</f>
        <v>399618.68536875024</v>
      </c>
      <c r="Z46" s="246">
        <f t="shared" ref="Z46" si="40">Y46+Z45</f>
        <v>476331.91936875018</v>
      </c>
      <c r="AA46" s="231"/>
      <c r="AB46" s="231"/>
      <c r="AC46" s="231"/>
      <c r="AD46" s="231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</row>
    <row r="47" spans="1:71" x14ac:dyDescent="0.25">
      <c r="A47" s="247" t="s">
        <v>125</v>
      </c>
      <c r="B47" s="242">
        <f>SUM(B40:B42,B44)</f>
        <v>-6886.9280999999974</v>
      </c>
      <c r="C47" s="242">
        <f t="shared" ref="C47:V47" si="41">SUM(C40:C42,C44)</f>
        <v>-4005.1947000000073</v>
      </c>
      <c r="D47" s="242">
        <f t="shared" si="41"/>
        <v>-1123.4612999999954</v>
      </c>
      <c r="E47" s="242">
        <f t="shared" si="41"/>
        <v>1758.2720999999874</v>
      </c>
      <c r="F47" s="242">
        <f t="shared" si="41"/>
        <v>4640.0054999999993</v>
      </c>
      <c r="G47" s="242">
        <f t="shared" si="41"/>
        <v>7521.7388999999966</v>
      </c>
      <c r="H47" s="242">
        <f t="shared" si="41"/>
        <v>10403.472300000009</v>
      </c>
      <c r="I47" s="242">
        <f t="shared" si="41"/>
        <v>13285.205700000006</v>
      </c>
      <c r="J47" s="242">
        <f t="shared" si="41"/>
        <v>16166.939100000003</v>
      </c>
      <c r="K47" s="242">
        <f t="shared" si="41"/>
        <v>19048.672500000001</v>
      </c>
      <c r="L47" s="242">
        <f t="shared" si="41"/>
        <v>21930.405899999998</v>
      </c>
      <c r="M47" s="242">
        <f t="shared" si="41"/>
        <v>24812.13930000001</v>
      </c>
      <c r="N47" s="242">
        <f t="shared" si="41"/>
        <v>27693.872700000007</v>
      </c>
      <c r="O47" s="242">
        <f t="shared" si="41"/>
        <v>30575.606099999975</v>
      </c>
      <c r="P47" s="242">
        <f t="shared" si="41"/>
        <v>33457.339499999973</v>
      </c>
      <c r="Q47" s="242">
        <f t="shared" si="41"/>
        <v>36339.07289999997</v>
      </c>
      <c r="R47" s="242">
        <f t="shared" si="41"/>
        <v>39220.806299999997</v>
      </c>
      <c r="S47" s="242">
        <f t="shared" si="41"/>
        <v>42102.539699999994</v>
      </c>
      <c r="T47" s="242">
        <f t="shared" si="41"/>
        <v>47046.924600000028</v>
      </c>
      <c r="U47" s="242">
        <f t="shared" si="41"/>
        <v>51991.309500000032</v>
      </c>
      <c r="V47" s="242">
        <f t="shared" si="41"/>
        <v>56935.694400000066</v>
      </c>
      <c r="W47" s="242">
        <f t="shared" ref="W47:Y47" si="42">SUM(W40:W42,W44)</f>
        <v>61880.079300000012</v>
      </c>
      <c r="X47" s="242">
        <f t="shared" si="42"/>
        <v>66824.464200000017</v>
      </c>
      <c r="Y47" s="242">
        <f t="shared" si="42"/>
        <v>71768.849100000109</v>
      </c>
      <c r="Z47" s="243">
        <f t="shared" ref="Z47" si="43">SUM(Z40:Z42,Z44)</f>
        <v>76713.233999999939</v>
      </c>
      <c r="AA47" s="231"/>
      <c r="AB47" s="231"/>
      <c r="AC47" s="231"/>
      <c r="AD47" s="231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</row>
    <row r="48" spans="1:71" ht="15.75" thickBot="1" x14ac:dyDescent="0.3">
      <c r="A48" s="248" t="s">
        <v>126</v>
      </c>
      <c r="B48" s="245">
        <f>$C$5+B47</f>
        <v>-707452.12809999997</v>
      </c>
      <c r="C48" s="245">
        <f>B48+C47</f>
        <v>-711457.32279999997</v>
      </c>
      <c r="D48" s="245">
        <f t="shared" ref="D48:V48" si="44">C48+D47</f>
        <v>-712580.78409999993</v>
      </c>
      <c r="E48" s="245">
        <f t="shared" si="44"/>
        <v>-710822.51199999999</v>
      </c>
      <c r="F48" s="245">
        <f t="shared" si="44"/>
        <v>-706182.50650000002</v>
      </c>
      <c r="G48" s="245">
        <f t="shared" si="44"/>
        <v>-698660.76760000002</v>
      </c>
      <c r="H48" s="245">
        <f t="shared" si="44"/>
        <v>-688257.2953</v>
      </c>
      <c r="I48" s="245">
        <f t="shared" si="44"/>
        <v>-674972.08959999995</v>
      </c>
      <c r="J48" s="245">
        <f t="shared" si="44"/>
        <v>-658805.15049999999</v>
      </c>
      <c r="K48" s="245">
        <f t="shared" si="44"/>
        <v>-639756.478</v>
      </c>
      <c r="L48" s="245">
        <f t="shared" si="44"/>
        <v>-617826.07209999999</v>
      </c>
      <c r="M48" s="245">
        <f t="shared" si="44"/>
        <v>-593013.93279999995</v>
      </c>
      <c r="N48" s="245">
        <f t="shared" si="44"/>
        <v>-565320.06009999989</v>
      </c>
      <c r="O48" s="245">
        <f t="shared" si="44"/>
        <v>-534744.45399999991</v>
      </c>
      <c r="P48" s="245">
        <f t="shared" si="44"/>
        <v>-501287.11449999991</v>
      </c>
      <c r="Q48" s="245">
        <f t="shared" si="44"/>
        <v>-464948.04159999994</v>
      </c>
      <c r="R48" s="245">
        <f t="shared" si="44"/>
        <v>-425727.23529999994</v>
      </c>
      <c r="S48" s="245">
        <f t="shared" si="44"/>
        <v>-383624.69559999998</v>
      </c>
      <c r="T48" s="245">
        <f t="shared" si="44"/>
        <v>-336577.77099999995</v>
      </c>
      <c r="U48" s="245">
        <f t="shared" si="44"/>
        <v>-284586.46149999992</v>
      </c>
      <c r="V48" s="245">
        <f t="shared" si="44"/>
        <v>-227650.76709999985</v>
      </c>
      <c r="W48" s="245">
        <f t="shared" ref="W48" si="45">V48+W47</f>
        <v>-165770.68779999984</v>
      </c>
      <c r="X48" s="245">
        <f t="shared" ref="X48" si="46">W48+X47</f>
        <v>-98946.223599999823</v>
      </c>
      <c r="Y48" s="245">
        <f t="shared" ref="Y48" si="47">X48+Y47</f>
        <v>-27177.374499999714</v>
      </c>
      <c r="Z48" s="246">
        <f t="shared" ref="Z48" si="48">Y48+Z47</f>
        <v>49535.859500000224</v>
      </c>
      <c r="AA48" s="231"/>
      <c r="AB48" s="231"/>
      <c r="AC48" s="231"/>
      <c r="AD48" s="231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</row>
    <row r="49" spans="1:71" x14ac:dyDescent="0.25">
      <c r="A49" s="124"/>
      <c r="B49" s="124"/>
      <c r="C49" s="231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</row>
    <row r="50" spans="1:71" x14ac:dyDescent="0.25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</row>
    <row r="51" spans="1:71" x14ac:dyDescent="0.25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</row>
    <row r="52" spans="1:71" x14ac:dyDescent="0.2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</row>
    <row r="53" spans="1:71" x14ac:dyDescent="0.25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</row>
    <row r="54" spans="1:71" x14ac:dyDescent="0.25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</row>
    <row r="55" spans="1:71" x14ac:dyDescent="0.2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</row>
    <row r="56" spans="1:71" x14ac:dyDescent="0.2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</row>
    <row r="57" spans="1:71" x14ac:dyDescent="0.2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</row>
    <row r="58" spans="1:71" x14ac:dyDescent="0.25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</row>
    <row r="59" spans="1:71" x14ac:dyDescent="0.25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</row>
    <row r="60" spans="1:71" x14ac:dyDescent="0.25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</row>
    <row r="61" spans="1:71" x14ac:dyDescent="0.2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</row>
    <row r="62" spans="1:71" x14ac:dyDescent="0.25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</row>
    <row r="63" spans="1:71" x14ac:dyDescent="0.25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</row>
    <row r="64" spans="1:71" x14ac:dyDescent="0.25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</row>
    <row r="65" spans="1:71" x14ac:dyDescent="0.25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</row>
    <row r="66" spans="1:71" x14ac:dyDescent="0.25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</row>
    <row r="67" spans="1:71" x14ac:dyDescent="0.25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</row>
    <row r="68" spans="1:71" x14ac:dyDescent="0.25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</row>
    <row r="69" spans="1:71" x14ac:dyDescent="0.2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</row>
    <row r="70" spans="1:7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</row>
    <row r="71" spans="1:71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</row>
    <row r="72" spans="1:71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</row>
    <row r="73" spans="1:71" x14ac:dyDescent="0.25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</row>
    <row r="74" spans="1:71" x14ac:dyDescent="0.25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</row>
    <row r="75" spans="1:71" x14ac:dyDescent="0.25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</row>
    <row r="76" spans="1:71" x14ac:dyDescent="0.25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</row>
    <row r="77" spans="1:71" x14ac:dyDescent="0.25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</row>
    <row r="78" spans="1:71" x14ac:dyDescent="0.25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</row>
    <row r="79" spans="1:71" x14ac:dyDescent="0.25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</row>
    <row r="80" spans="1:71" x14ac:dyDescent="0.25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</row>
    <row r="81" spans="1:71" x14ac:dyDescent="0.25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</row>
    <row r="82" spans="1:71" x14ac:dyDescent="0.25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</row>
    <row r="83" spans="1:71" x14ac:dyDescent="0.25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</row>
    <row r="84" spans="1:71" x14ac:dyDescent="0.25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24"/>
      <c r="BR84" s="124"/>
      <c r="BS84" s="124"/>
    </row>
    <row r="85" spans="1:71" x14ac:dyDescent="0.25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4"/>
      <c r="BR85" s="124"/>
      <c r="BS85" s="124"/>
    </row>
    <row r="86" spans="1:71" x14ac:dyDescent="0.25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</row>
    <row r="87" spans="1:71" x14ac:dyDescent="0.25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  <c r="BQ87" s="124"/>
      <c r="BR87" s="124"/>
      <c r="BS87" s="124"/>
    </row>
    <row r="88" spans="1:71" x14ac:dyDescent="0.25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</row>
    <row r="89" spans="1:71" x14ac:dyDescent="0.25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  <c r="BQ89" s="124"/>
      <c r="BR89" s="124"/>
      <c r="BS89" s="124"/>
    </row>
    <row r="90" spans="1:71" x14ac:dyDescent="0.25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</row>
    <row r="91" spans="1:71" x14ac:dyDescent="0.25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</row>
    <row r="92" spans="1:71" x14ac:dyDescent="0.25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</row>
    <row r="93" spans="1:71" x14ac:dyDescent="0.25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</row>
    <row r="94" spans="1:71" x14ac:dyDescent="0.25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</row>
    <row r="95" spans="1:71" x14ac:dyDescent="0.25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</row>
    <row r="96" spans="1:71" x14ac:dyDescent="0.25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</row>
    <row r="97" spans="1:71" x14ac:dyDescent="0.25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</row>
    <row r="98" spans="1:71" x14ac:dyDescent="0.25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</row>
    <row r="99" spans="1:71" x14ac:dyDescent="0.25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</row>
    <row r="100" spans="1:71" x14ac:dyDescent="0.25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</row>
    <row r="101" spans="1:71" x14ac:dyDescent="0.25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</row>
    <row r="102" spans="1:71" x14ac:dyDescent="0.25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/>
      <c r="BS102" s="124"/>
    </row>
    <row r="103" spans="1:71" x14ac:dyDescent="0.25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</row>
    <row r="104" spans="1:71" x14ac:dyDescent="0.25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</row>
    <row r="105" spans="1:71" x14ac:dyDescent="0.25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</row>
    <row r="106" spans="1:71" x14ac:dyDescent="0.25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  <c r="BI106" s="124"/>
      <c r="BJ106" s="124"/>
      <c r="BK106" s="124"/>
      <c r="BL106" s="124"/>
      <c r="BM106" s="124"/>
      <c r="BN106" s="124"/>
      <c r="BO106" s="124"/>
      <c r="BP106" s="124"/>
      <c r="BQ106" s="124"/>
      <c r="BR106" s="124"/>
      <c r="BS106" s="124"/>
    </row>
    <row r="107" spans="1:71" x14ac:dyDescent="0.25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</row>
    <row r="108" spans="1:71" x14ac:dyDescent="0.25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</row>
    <row r="109" spans="1:71" x14ac:dyDescent="0.25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24"/>
      <c r="BQ109" s="124"/>
      <c r="BR109" s="124"/>
      <c r="BS109" s="124"/>
    </row>
    <row r="110" spans="1:71" x14ac:dyDescent="0.25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24"/>
      <c r="BQ110" s="124"/>
      <c r="BR110" s="124"/>
      <c r="BS110" s="124"/>
    </row>
    <row r="111" spans="1:71" x14ac:dyDescent="0.25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/>
      <c r="BS111" s="124"/>
    </row>
    <row r="112" spans="1:71" x14ac:dyDescent="0.25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</row>
    <row r="113" spans="1:71" x14ac:dyDescent="0.25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</row>
    <row r="114" spans="1:71" x14ac:dyDescent="0.25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124"/>
      <c r="BS114" s="124"/>
    </row>
    <row r="115" spans="1:71" x14ac:dyDescent="0.25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  <c r="BI115" s="124"/>
      <c r="BJ115" s="124"/>
      <c r="BK115" s="124"/>
      <c r="BL115" s="124"/>
      <c r="BM115" s="124"/>
      <c r="BN115" s="124"/>
      <c r="BO115" s="124"/>
      <c r="BP115" s="124"/>
      <c r="BQ115" s="124"/>
      <c r="BR115" s="124"/>
      <c r="BS115" s="124"/>
    </row>
    <row r="116" spans="1:71" x14ac:dyDescent="0.25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24"/>
      <c r="AY116" s="124"/>
      <c r="AZ116" s="124"/>
      <c r="BA116" s="124"/>
      <c r="BB116" s="124"/>
      <c r="BC116" s="124"/>
      <c r="BD116" s="124"/>
      <c r="BE116" s="124"/>
      <c r="BF116" s="124"/>
      <c r="BG116" s="124"/>
      <c r="BH116" s="124"/>
      <c r="BI116" s="124"/>
      <c r="BJ116" s="124"/>
      <c r="BK116" s="124"/>
      <c r="BL116" s="124"/>
      <c r="BM116" s="124"/>
      <c r="BN116" s="124"/>
      <c r="BO116" s="124"/>
      <c r="BP116" s="124"/>
      <c r="BQ116" s="124"/>
      <c r="BR116" s="124"/>
      <c r="BS116" s="124"/>
    </row>
    <row r="117" spans="1:71" x14ac:dyDescent="0.25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</row>
    <row r="118" spans="1:71" x14ac:dyDescent="0.25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24"/>
      <c r="BQ118" s="124"/>
      <c r="BR118" s="124"/>
      <c r="BS118" s="124"/>
    </row>
    <row r="119" spans="1:71" x14ac:dyDescent="0.25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4"/>
      <c r="BN119" s="124"/>
      <c r="BO119" s="124"/>
      <c r="BP119" s="124"/>
      <c r="BQ119" s="124"/>
      <c r="BR119" s="124"/>
      <c r="BS119" s="124"/>
    </row>
    <row r="120" spans="1:71" x14ac:dyDescent="0.25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  <c r="BI120" s="124"/>
      <c r="BJ120" s="124"/>
      <c r="BK120" s="124"/>
      <c r="BL120" s="124"/>
      <c r="BM120" s="124"/>
      <c r="BN120" s="124"/>
      <c r="BO120" s="124"/>
      <c r="BP120" s="124"/>
      <c r="BQ120" s="124"/>
      <c r="BR120" s="124"/>
      <c r="BS120" s="124"/>
    </row>
    <row r="121" spans="1:71" x14ac:dyDescent="0.25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</row>
    <row r="122" spans="1:71" x14ac:dyDescent="0.25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  <c r="BM122" s="124"/>
      <c r="BN122" s="124"/>
      <c r="BO122" s="124"/>
      <c r="BP122" s="124"/>
      <c r="BQ122" s="124"/>
      <c r="BR122" s="124"/>
      <c r="BS122" s="124"/>
    </row>
    <row r="123" spans="1:71" x14ac:dyDescent="0.25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  <c r="BI123" s="124"/>
      <c r="BJ123" s="124"/>
      <c r="BK123" s="124"/>
      <c r="BL123" s="124"/>
      <c r="BM123" s="124"/>
      <c r="BN123" s="124"/>
      <c r="BO123" s="124"/>
      <c r="BP123" s="124"/>
      <c r="BQ123" s="124"/>
      <c r="BR123" s="124"/>
      <c r="BS123" s="124"/>
    </row>
    <row r="124" spans="1:71" x14ac:dyDescent="0.25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  <c r="BM124" s="124"/>
      <c r="BN124" s="124"/>
      <c r="BO124" s="124"/>
      <c r="BP124" s="124"/>
      <c r="BQ124" s="124"/>
      <c r="BR124" s="124"/>
      <c r="BS124" s="124"/>
    </row>
    <row r="125" spans="1:71" x14ac:dyDescent="0.25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  <c r="BM125" s="124"/>
      <c r="BN125" s="124"/>
      <c r="BO125" s="124"/>
      <c r="BP125" s="124"/>
      <c r="BQ125" s="124"/>
      <c r="BR125" s="124"/>
      <c r="BS125" s="124"/>
    </row>
    <row r="126" spans="1:71" x14ac:dyDescent="0.25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4"/>
      <c r="BG126" s="124"/>
      <c r="BH126" s="124"/>
      <c r="BI126" s="124"/>
      <c r="BJ126" s="124"/>
      <c r="BK126" s="124"/>
      <c r="BL126" s="124"/>
      <c r="BM126" s="124"/>
      <c r="BN126" s="124"/>
      <c r="BO126" s="124"/>
      <c r="BP126" s="124"/>
      <c r="BQ126" s="124"/>
      <c r="BR126" s="124"/>
      <c r="BS126" s="124"/>
    </row>
    <row r="127" spans="1:71" x14ac:dyDescent="0.25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4"/>
      <c r="BG127" s="124"/>
      <c r="BH127" s="124"/>
      <c r="BI127" s="124"/>
      <c r="BJ127" s="124"/>
      <c r="BK127" s="124"/>
      <c r="BL127" s="124"/>
      <c r="BM127" s="124"/>
      <c r="BN127" s="124"/>
      <c r="BO127" s="124"/>
      <c r="BP127" s="124"/>
      <c r="BQ127" s="124"/>
      <c r="BR127" s="124"/>
      <c r="BS127" s="124"/>
    </row>
    <row r="128" spans="1:71" x14ac:dyDescent="0.25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  <c r="BM128" s="124"/>
      <c r="BN128" s="124"/>
      <c r="BO128" s="124"/>
      <c r="BP128" s="124"/>
      <c r="BQ128" s="124"/>
      <c r="BR128" s="124"/>
      <c r="BS128" s="124"/>
    </row>
    <row r="129" spans="1:71" x14ac:dyDescent="0.25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  <c r="BM129" s="124"/>
      <c r="BN129" s="124"/>
      <c r="BO129" s="124"/>
      <c r="BP129" s="124"/>
      <c r="BQ129" s="124"/>
      <c r="BR129" s="124"/>
      <c r="BS129" s="124"/>
    </row>
    <row r="130" spans="1:71" x14ac:dyDescent="0.25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</row>
    <row r="131" spans="1:71" x14ac:dyDescent="0.25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</row>
    <row r="132" spans="1:71" x14ac:dyDescent="0.25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24"/>
      <c r="BQ132" s="124"/>
      <c r="BR132" s="124"/>
      <c r="BS132" s="124"/>
    </row>
    <row r="133" spans="1:71" x14ac:dyDescent="0.25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</row>
    <row r="134" spans="1:71" x14ac:dyDescent="0.25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4"/>
      <c r="BJ134" s="124"/>
      <c r="BK134" s="124"/>
      <c r="BL134" s="124"/>
      <c r="BM134" s="124"/>
      <c r="BN134" s="124"/>
      <c r="BO134" s="124"/>
      <c r="BP134" s="124"/>
      <c r="BQ134" s="124"/>
      <c r="BR134" s="124"/>
      <c r="BS134" s="124"/>
    </row>
    <row r="135" spans="1:71" x14ac:dyDescent="0.25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4"/>
      <c r="BG135" s="124"/>
      <c r="BH135" s="124"/>
      <c r="BI135" s="124"/>
      <c r="BJ135" s="124"/>
      <c r="BK135" s="124"/>
      <c r="BL135" s="124"/>
      <c r="BM135" s="124"/>
      <c r="BN135" s="124"/>
      <c r="BO135" s="124"/>
      <c r="BP135" s="124"/>
      <c r="BQ135" s="124"/>
      <c r="BR135" s="124"/>
      <c r="BS135" s="124"/>
    </row>
    <row r="136" spans="1:71" x14ac:dyDescent="0.25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4"/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4"/>
      <c r="BE136" s="124"/>
      <c r="BF136" s="124"/>
      <c r="BG136" s="124"/>
      <c r="BH136" s="124"/>
      <c r="BI136" s="124"/>
      <c r="BJ136" s="124"/>
      <c r="BK136" s="124"/>
      <c r="BL136" s="124"/>
      <c r="BM136" s="124"/>
      <c r="BN136" s="124"/>
      <c r="BO136" s="124"/>
      <c r="BP136" s="124"/>
      <c r="BQ136" s="124"/>
      <c r="BR136" s="124"/>
      <c r="BS136" s="124"/>
    </row>
    <row r="137" spans="1:71" x14ac:dyDescent="0.25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124"/>
      <c r="BR137" s="124"/>
      <c r="BS137" s="124"/>
    </row>
    <row r="138" spans="1:71" x14ac:dyDescent="0.25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4"/>
      <c r="BN138" s="124"/>
      <c r="BO138" s="124"/>
      <c r="BP138" s="124"/>
      <c r="BQ138" s="124"/>
      <c r="BR138" s="124"/>
      <c r="BS138" s="124"/>
    </row>
    <row r="139" spans="1:71" x14ac:dyDescent="0.25">
      <c r="A139" s="124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4"/>
      <c r="BE139" s="124"/>
      <c r="BF139" s="124"/>
      <c r="BG139" s="124"/>
      <c r="BH139" s="124"/>
      <c r="BI139" s="124"/>
      <c r="BJ139" s="124"/>
      <c r="BK139" s="124"/>
      <c r="BL139" s="124"/>
      <c r="BM139" s="124"/>
      <c r="BN139" s="124"/>
      <c r="BO139" s="124"/>
      <c r="BP139" s="124"/>
      <c r="BQ139" s="124"/>
      <c r="BR139" s="124"/>
      <c r="BS139" s="124"/>
    </row>
    <row r="140" spans="1:71" x14ac:dyDescent="0.25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</row>
    <row r="141" spans="1:71" x14ac:dyDescent="0.25">
      <c r="A141" s="124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</row>
    <row r="142" spans="1:71" x14ac:dyDescent="0.25">
      <c r="A142" s="12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  <c r="AM142" s="124"/>
      <c r="AN142" s="124"/>
      <c r="AO142" s="124"/>
      <c r="AP142" s="124"/>
      <c r="AQ142" s="124"/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4"/>
      <c r="BB142" s="124"/>
      <c r="BC142" s="124"/>
      <c r="BD142" s="124"/>
      <c r="BE142" s="124"/>
      <c r="BF142" s="124"/>
      <c r="BG142" s="124"/>
      <c r="BH142" s="124"/>
      <c r="BI142" s="124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</row>
    <row r="143" spans="1:71" x14ac:dyDescent="0.25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124"/>
      <c r="AX143" s="124"/>
      <c r="AY143" s="124"/>
      <c r="AZ143" s="124"/>
      <c r="BA143" s="124"/>
      <c r="BB143" s="124"/>
      <c r="BC143" s="124"/>
      <c r="BD143" s="124"/>
      <c r="BE143" s="124"/>
      <c r="BF143" s="124"/>
      <c r="BG143" s="124"/>
      <c r="BH143" s="124"/>
      <c r="BI143" s="124"/>
      <c r="BJ143" s="124"/>
      <c r="BK143" s="124"/>
      <c r="BL143" s="124"/>
      <c r="BM143" s="124"/>
      <c r="BN143" s="124"/>
      <c r="BO143" s="124"/>
      <c r="BP143" s="124"/>
      <c r="BQ143" s="124"/>
      <c r="BR143" s="124"/>
      <c r="BS143" s="124"/>
    </row>
    <row r="144" spans="1:71" x14ac:dyDescent="0.25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24"/>
      <c r="BD144" s="124"/>
      <c r="BE144" s="124"/>
      <c r="BF144" s="124"/>
      <c r="BG144" s="124"/>
      <c r="BH144" s="124"/>
      <c r="BI144" s="124"/>
      <c r="BJ144" s="124"/>
      <c r="BK144" s="124"/>
      <c r="BL144" s="124"/>
      <c r="BM144" s="124"/>
      <c r="BN144" s="124"/>
      <c r="BO144" s="124"/>
      <c r="BP144" s="124"/>
      <c r="BQ144" s="124"/>
      <c r="BR144" s="124"/>
      <c r="BS144" s="124"/>
    </row>
    <row r="145" spans="1:71" x14ac:dyDescent="0.25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4"/>
      <c r="AP145" s="124"/>
      <c r="AQ145" s="124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24"/>
      <c r="BP145" s="124"/>
      <c r="BQ145" s="124"/>
      <c r="BR145" s="124"/>
      <c r="BS145" s="124"/>
    </row>
    <row r="146" spans="1:71" x14ac:dyDescent="0.25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</row>
    <row r="147" spans="1:71" x14ac:dyDescent="0.25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4"/>
      <c r="BE147" s="124"/>
      <c r="BF147" s="124"/>
      <c r="BG147" s="124"/>
      <c r="BH147" s="124"/>
      <c r="BI147" s="124"/>
      <c r="BJ147" s="124"/>
      <c r="BK147" s="124"/>
      <c r="BL147" s="124"/>
      <c r="BM147" s="124"/>
      <c r="BN147" s="124"/>
      <c r="BO147" s="124"/>
      <c r="BP147" s="124"/>
      <c r="BQ147" s="124"/>
      <c r="BR147" s="124"/>
      <c r="BS147" s="124"/>
    </row>
    <row r="148" spans="1:71" x14ac:dyDescent="0.25">
      <c r="A148" s="124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4"/>
      <c r="BR148" s="124"/>
      <c r="BS148" s="124"/>
    </row>
    <row r="149" spans="1:71" x14ac:dyDescent="0.25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24"/>
      <c r="BP149" s="124"/>
      <c r="BQ149" s="124"/>
      <c r="BR149" s="124"/>
      <c r="BS149" s="124"/>
    </row>
    <row r="150" spans="1:71" x14ac:dyDescent="0.25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4"/>
      <c r="BG150" s="124"/>
      <c r="BH150" s="124"/>
      <c r="BI150" s="124"/>
      <c r="BJ150" s="124"/>
      <c r="BK150" s="124"/>
      <c r="BL150" s="124"/>
      <c r="BM150" s="124"/>
      <c r="BN150" s="124"/>
      <c r="BO150" s="124"/>
      <c r="BP150" s="124"/>
      <c r="BQ150" s="124"/>
      <c r="BR150" s="124"/>
      <c r="BS150" s="124"/>
    </row>
    <row r="151" spans="1:71" x14ac:dyDescent="0.25">
      <c r="A151" s="124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24"/>
      <c r="BP151" s="124"/>
      <c r="BQ151" s="124"/>
      <c r="BR151" s="124"/>
      <c r="BS151" s="124"/>
    </row>
    <row r="152" spans="1:71" x14ac:dyDescent="0.25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4"/>
      <c r="BG152" s="124"/>
      <c r="BH152" s="124"/>
      <c r="BI152" s="124"/>
      <c r="BJ152" s="124"/>
      <c r="BK152" s="124"/>
      <c r="BL152" s="124"/>
      <c r="BM152" s="124"/>
      <c r="BN152" s="124"/>
      <c r="BO152" s="124"/>
      <c r="BP152" s="124"/>
      <c r="BQ152" s="124"/>
      <c r="BR152" s="124"/>
      <c r="BS152" s="124"/>
    </row>
    <row r="153" spans="1:71" x14ac:dyDescent="0.25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24"/>
      <c r="BP153" s="124"/>
      <c r="BQ153" s="124"/>
      <c r="BR153" s="124"/>
      <c r="BS153" s="124"/>
    </row>
    <row r="154" spans="1:71" x14ac:dyDescent="0.25">
      <c r="A154" s="124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  <c r="AL154" s="124"/>
      <c r="AM154" s="124"/>
      <c r="AN154" s="124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4"/>
      <c r="BG154" s="124"/>
      <c r="BH154" s="124"/>
      <c r="BI154" s="124"/>
      <c r="BJ154" s="124"/>
      <c r="BK154" s="124"/>
      <c r="BL154" s="124"/>
      <c r="BM154" s="124"/>
      <c r="BN154" s="124"/>
      <c r="BO154" s="124"/>
      <c r="BP154" s="124"/>
      <c r="BQ154" s="124"/>
      <c r="BR154" s="124"/>
      <c r="BS154" s="124"/>
    </row>
    <row r="155" spans="1:71" x14ac:dyDescent="0.25">
      <c r="A155" s="124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24"/>
      <c r="BQ155" s="124"/>
      <c r="BR155" s="124"/>
      <c r="BS155" s="124"/>
    </row>
    <row r="156" spans="1:71" x14ac:dyDescent="0.25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24"/>
      <c r="BQ156" s="124"/>
      <c r="BR156" s="124"/>
      <c r="BS156" s="124"/>
    </row>
    <row r="157" spans="1:71" x14ac:dyDescent="0.25">
      <c r="A157" s="124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4"/>
      <c r="AL157" s="124"/>
      <c r="AM157" s="124"/>
      <c r="AN157" s="124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24"/>
      <c r="BQ157" s="124"/>
      <c r="BR157" s="124"/>
      <c r="BS157" s="124"/>
    </row>
    <row r="158" spans="1:71" x14ac:dyDescent="0.25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124"/>
      <c r="AX158" s="124"/>
      <c r="AY158" s="124"/>
      <c r="AZ158" s="124"/>
      <c r="BA158" s="124"/>
      <c r="BB158" s="124"/>
      <c r="BC158" s="124"/>
      <c r="BD158" s="124"/>
      <c r="BE158" s="124"/>
      <c r="BF158" s="124"/>
      <c r="BG158" s="124"/>
      <c r="BH158" s="124"/>
      <c r="BI158" s="124"/>
      <c r="BJ158" s="124"/>
      <c r="BK158" s="124"/>
      <c r="BL158" s="124"/>
      <c r="BM158" s="124"/>
      <c r="BN158" s="124"/>
      <c r="BO158" s="124"/>
      <c r="BP158" s="124"/>
      <c r="BQ158" s="124"/>
      <c r="BR158" s="124"/>
      <c r="BS158" s="124"/>
    </row>
    <row r="159" spans="1:71" x14ac:dyDescent="0.25">
      <c r="A159" s="124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124"/>
      <c r="AP159" s="124"/>
      <c r="AQ159" s="124"/>
      <c r="AR159" s="124"/>
      <c r="AS159" s="124"/>
      <c r="AT159" s="124"/>
      <c r="AU159" s="124"/>
      <c r="AV159" s="124"/>
      <c r="AW159" s="124"/>
      <c r="AX159" s="124"/>
      <c r="AY159" s="124"/>
      <c r="AZ159" s="124"/>
      <c r="BA159" s="124"/>
      <c r="BB159" s="124"/>
      <c r="BC159" s="124"/>
      <c r="BD159" s="124"/>
      <c r="BE159" s="124"/>
      <c r="BF159" s="124"/>
      <c r="BG159" s="124"/>
      <c r="BH159" s="124"/>
      <c r="BI159" s="124"/>
      <c r="BJ159" s="124"/>
      <c r="BK159" s="124"/>
      <c r="BL159" s="124"/>
      <c r="BM159" s="124"/>
      <c r="BN159" s="124"/>
      <c r="BO159" s="124"/>
      <c r="BP159" s="124"/>
      <c r="BQ159" s="124"/>
      <c r="BR159" s="124"/>
      <c r="BS159" s="124"/>
    </row>
    <row r="160" spans="1:71" x14ac:dyDescent="0.25">
      <c r="A160" s="124"/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124"/>
      <c r="AP160" s="124"/>
      <c r="AQ160" s="124"/>
      <c r="AR160" s="124"/>
      <c r="AS160" s="124"/>
      <c r="AT160" s="124"/>
      <c r="AU160" s="124"/>
      <c r="AV160" s="124"/>
      <c r="AW160" s="124"/>
      <c r="AX160" s="124"/>
      <c r="AY160" s="124"/>
      <c r="AZ160" s="124"/>
      <c r="BA160" s="124"/>
      <c r="BB160" s="124"/>
      <c r="BC160" s="124"/>
      <c r="BD160" s="124"/>
      <c r="BE160" s="124"/>
      <c r="BF160" s="124"/>
      <c r="BG160" s="124"/>
      <c r="BH160" s="124"/>
      <c r="BI160" s="124"/>
      <c r="BJ160" s="124"/>
      <c r="BK160" s="124"/>
      <c r="BL160" s="124"/>
      <c r="BM160" s="124"/>
      <c r="BN160" s="124"/>
      <c r="BO160" s="124"/>
      <c r="BP160" s="124"/>
      <c r="BQ160" s="124"/>
      <c r="BR160" s="124"/>
      <c r="BS160" s="124"/>
    </row>
    <row r="161" spans="1:71" x14ac:dyDescent="0.25">
      <c r="A161" s="124"/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124"/>
      <c r="AN161" s="124"/>
      <c r="AO161" s="124"/>
      <c r="AP161" s="124"/>
      <c r="AQ161" s="124"/>
      <c r="AR161" s="124"/>
      <c r="AS161" s="124"/>
      <c r="AT161" s="124"/>
      <c r="AU161" s="124"/>
      <c r="AV161" s="124"/>
      <c r="AW161" s="124"/>
      <c r="AX161" s="124"/>
      <c r="AY161" s="124"/>
      <c r="AZ161" s="124"/>
      <c r="BA161" s="124"/>
      <c r="BB161" s="124"/>
      <c r="BC161" s="124"/>
      <c r="BD161" s="124"/>
      <c r="BE161" s="124"/>
      <c r="BF161" s="124"/>
      <c r="BG161" s="124"/>
      <c r="BH161" s="124"/>
      <c r="BI161" s="124"/>
      <c r="BJ161" s="124"/>
      <c r="BK161" s="124"/>
      <c r="BL161" s="124"/>
      <c r="BM161" s="124"/>
      <c r="BN161" s="124"/>
      <c r="BO161" s="124"/>
      <c r="BP161" s="124"/>
      <c r="BQ161" s="124"/>
      <c r="BR161" s="124"/>
      <c r="BS161" s="124"/>
    </row>
    <row r="162" spans="1:71" x14ac:dyDescent="0.25">
      <c r="A162" s="124"/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4"/>
      <c r="AL162" s="124"/>
      <c r="AM162" s="124"/>
      <c r="AN162" s="124"/>
      <c r="AO162" s="124"/>
      <c r="AP162" s="124"/>
      <c r="AQ162" s="124"/>
      <c r="AR162" s="124"/>
      <c r="AS162" s="124"/>
      <c r="AT162" s="124"/>
      <c r="AU162" s="124"/>
      <c r="AV162" s="124"/>
      <c r="AW162" s="124"/>
      <c r="AX162" s="124"/>
      <c r="AY162" s="124"/>
      <c r="AZ162" s="124"/>
      <c r="BA162" s="124"/>
      <c r="BB162" s="124"/>
      <c r="BC162" s="124"/>
      <c r="BD162" s="124"/>
      <c r="BE162" s="124"/>
      <c r="BF162" s="124"/>
      <c r="BG162" s="124"/>
      <c r="BH162" s="124"/>
      <c r="BI162" s="124"/>
      <c r="BJ162" s="124"/>
      <c r="BK162" s="124"/>
      <c r="BL162" s="124"/>
      <c r="BM162" s="124"/>
      <c r="BN162" s="124"/>
      <c r="BO162" s="124"/>
      <c r="BP162" s="124"/>
      <c r="BQ162" s="124"/>
      <c r="BR162" s="124"/>
      <c r="BS162" s="124"/>
    </row>
    <row r="163" spans="1:71" x14ac:dyDescent="0.25">
      <c r="A163" s="124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124"/>
      <c r="AP163" s="124"/>
      <c r="AQ163" s="124"/>
      <c r="AR163" s="124"/>
      <c r="AS163" s="124"/>
      <c r="AT163" s="124"/>
      <c r="AU163" s="124"/>
      <c r="AV163" s="124"/>
      <c r="AW163" s="124"/>
      <c r="AX163" s="124"/>
      <c r="AY163" s="124"/>
      <c r="AZ163" s="124"/>
      <c r="BA163" s="124"/>
      <c r="BB163" s="124"/>
      <c r="BC163" s="124"/>
      <c r="BD163" s="124"/>
      <c r="BE163" s="124"/>
      <c r="BF163" s="124"/>
      <c r="BG163" s="124"/>
      <c r="BH163" s="124"/>
      <c r="BI163" s="124"/>
      <c r="BJ163" s="124"/>
      <c r="BK163" s="124"/>
      <c r="BL163" s="124"/>
      <c r="BM163" s="124"/>
      <c r="BN163" s="124"/>
      <c r="BO163" s="124"/>
      <c r="BP163" s="124"/>
      <c r="BQ163" s="124"/>
      <c r="BR163" s="124"/>
      <c r="BS163" s="124"/>
    </row>
    <row r="164" spans="1:71" x14ac:dyDescent="0.25">
      <c r="A164" s="124"/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/>
      <c r="AQ164" s="124"/>
      <c r="AR164" s="124"/>
      <c r="AS164" s="124"/>
      <c r="AT164" s="124"/>
      <c r="AU164" s="124"/>
      <c r="AV164" s="124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4"/>
      <c r="BG164" s="124"/>
      <c r="BH164" s="124"/>
      <c r="BI164" s="124"/>
      <c r="BJ164" s="124"/>
      <c r="BK164" s="124"/>
      <c r="BL164" s="124"/>
      <c r="BM164" s="124"/>
      <c r="BN164" s="124"/>
      <c r="BO164" s="124"/>
      <c r="BP164" s="124"/>
      <c r="BQ164" s="124"/>
      <c r="BR164" s="124"/>
      <c r="BS164" s="124"/>
    </row>
    <row r="165" spans="1:71" x14ac:dyDescent="0.25">
      <c r="A165" s="124"/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4"/>
      <c r="BD165" s="124"/>
      <c r="BE165" s="124"/>
      <c r="BF165" s="124"/>
      <c r="BG165" s="124"/>
      <c r="BH165" s="124"/>
      <c r="BI165" s="124"/>
      <c r="BJ165" s="124"/>
      <c r="BK165" s="124"/>
      <c r="BL165" s="124"/>
      <c r="BM165" s="124"/>
      <c r="BN165" s="124"/>
      <c r="BO165" s="124"/>
      <c r="BP165" s="124"/>
      <c r="BQ165" s="124"/>
      <c r="BR165" s="124"/>
      <c r="BS165" s="124"/>
    </row>
    <row r="166" spans="1:71" x14ac:dyDescent="0.25">
      <c r="A166" s="124"/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  <c r="BP166" s="124"/>
      <c r="BQ166" s="124"/>
      <c r="BR166" s="124"/>
      <c r="BS166" s="124"/>
    </row>
    <row r="167" spans="1:71" x14ac:dyDescent="0.25">
      <c r="A167" s="124"/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4"/>
      <c r="AQ167" s="124"/>
      <c r="AR167" s="124"/>
      <c r="AS167" s="124"/>
      <c r="AT167" s="124"/>
      <c r="AU167" s="124"/>
      <c r="AV167" s="124"/>
      <c r="AW167" s="124"/>
      <c r="AX167" s="124"/>
      <c r="AY167" s="124"/>
      <c r="AZ167" s="124"/>
      <c r="BA167" s="124"/>
      <c r="BB167" s="124"/>
      <c r="BC167" s="124"/>
      <c r="BD167" s="124"/>
      <c r="BE167" s="124"/>
      <c r="BF167" s="124"/>
      <c r="BG167" s="124"/>
      <c r="BH167" s="124"/>
      <c r="BI167" s="124"/>
      <c r="BJ167" s="124"/>
      <c r="BK167" s="124"/>
      <c r="BL167" s="124"/>
      <c r="BM167" s="124"/>
      <c r="BN167" s="124"/>
      <c r="BO167" s="124"/>
      <c r="BP167" s="124"/>
      <c r="BQ167" s="124"/>
      <c r="BR167" s="124"/>
      <c r="BS167" s="124"/>
    </row>
    <row r="168" spans="1:71" x14ac:dyDescent="0.25">
      <c r="A168" s="124"/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4"/>
      <c r="AQ168" s="124"/>
      <c r="AR168" s="124"/>
      <c r="AS168" s="124"/>
      <c r="AT168" s="124"/>
      <c r="AU168" s="124"/>
      <c r="AV168" s="124"/>
      <c r="AW168" s="124"/>
      <c r="AX168" s="124"/>
      <c r="AY168" s="124"/>
      <c r="AZ168" s="124"/>
      <c r="BA168" s="124"/>
      <c r="BB168" s="124"/>
      <c r="BC168" s="124"/>
      <c r="BD168" s="124"/>
      <c r="BE168" s="124"/>
      <c r="BF168" s="124"/>
      <c r="BG168" s="124"/>
      <c r="BH168" s="124"/>
      <c r="BI168" s="124"/>
      <c r="BJ168" s="124"/>
      <c r="BK168" s="124"/>
      <c r="BL168" s="124"/>
      <c r="BM168" s="124"/>
      <c r="BN168" s="124"/>
      <c r="BO168" s="124"/>
      <c r="BP168" s="124"/>
      <c r="BQ168" s="124"/>
      <c r="BR168" s="124"/>
      <c r="BS168" s="124"/>
    </row>
    <row r="169" spans="1:71" x14ac:dyDescent="0.25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24"/>
      <c r="AT169" s="124"/>
      <c r="AU169" s="124"/>
      <c r="AV169" s="124"/>
      <c r="AW169" s="124"/>
      <c r="AX169" s="124"/>
      <c r="AY169" s="124"/>
      <c r="AZ169" s="124"/>
      <c r="BA169" s="124"/>
      <c r="BB169" s="124"/>
      <c r="BC169" s="124"/>
      <c r="BD169" s="124"/>
      <c r="BE169" s="124"/>
      <c r="BF169" s="124"/>
      <c r="BG169" s="124"/>
      <c r="BH169" s="124"/>
      <c r="BI169" s="124"/>
      <c r="BJ169" s="124"/>
      <c r="BK169" s="124"/>
      <c r="BL169" s="124"/>
      <c r="BM169" s="124"/>
      <c r="BN169" s="124"/>
      <c r="BO169" s="124"/>
      <c r="BP169" s="124"/>
      <c r="BQ169" s="124"/>
      <c r="BR169" s="124"/>
      <c r="BS169" s="124"/>
    </row>
    <row r="170" spans="1:71" x14ac:dyDescent="0.25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  <c r="BM170" s="124"/>
      <c r="BN170" s="124"/>
      <c r="BO170" s="124"/>
      <c r="BP170" s="124"/>
      <c r="BQ170" s="124"/>
      <c r="BR170" s="124"/>
      <c r="BS170" s="124"/>
    </row>
    <row r="171" spans="1:71" x14ac:dyDescent="0.2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24"/>
      <c r="BQ171" s="124"/>
      <c r="BR171" s="124"/>
      <c r="BS171" s="124"/>
    </row>
    <row r="172" spans="1:71" x14ac:dyDescent="0.25">
      <c r="A172" s="124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</row>
    <row r="173" spans="1:71" x14ac:dyDescent="0.25">
      <c r="A173" s="124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4"/>
      <c r="BM173" s="124"/>
      <c r="BN173" s="124"/>
      <c r="BO173" s="124"/>
      <c r="BP173" s="124"/>
      <c r="BQ173" s="124"/>
      <c r="BR173" s="124"/>
      <c r="BS173" s="124"/>
    </row>
    <row r="174" spans="1:71" x14ac:dyDescent="0.25">
      <c r="A174" s="124"/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</row>
    <row r="175" spans="1:71" x14ac:dyDescent="0.25">
      <c r="A175" s="124"/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24"/>
      <c r="BQ175" s="124"/>
      <c r="BR175" s="124"/>
      <c r="BS175" s="124"/>
    </row>
  </sheetData>
  <conditionalFormatting sqref="B45:AD48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DCF5A-963A-47AC-AED5-2AD1BCB1445E}">
  <dimension ref="A1:K113"/>
  <sheetViews>
    <sheetView zoomScale="78" zoomScaleNormal="78" workbookViewId="0">
      <selection activeCell="C27" sqref="C27"/>
    </sheetView>
  </sheetViews>
  <sheetFormatPr defaultRowHeight="15" x14ac:dyDescent="0.25"/>
  <cols>
    <col min="1" max="1" width="55.7109375" customWidth="1"/>
    <col min="2" max="2" width="19.140625" bestFit="1" customWidth="1"/>
    <col min="3" max="3" width="15.28515625" bestFit="1" customWidth="1"/>
    <col min="4" max="6" width="14.28515625" bestFit="1" customWidth="1"/>
    <col min="7" max="10" width="15.28515625" bestFit="1" customWidth="1"/>
    <col min="11" max="11" width="18.28515625" hidden="1" customWidth="1"/>
    <col min="12" max="12" width="18.28515625" bestFit="1" customWidth="1"/>
  </cols>
  <sheetData>
    <row r="1" spans="1:2" x14ac:dyDescent="0.25">
      <c r="A1" s="164" t="s">
        <v>114</v>
      </c>
    </row>
    <row r="13" spans="1:2" ht="18.75" x14ac:dyDescent="0.3">
      <c r="A13" s="200" t="s">
        <v>134</v>
      </c>
    </row>
    <row r="14" spans="1:2" x14ac:dyDescent="0.25">
      <c r="A14" s="168" t="s">
        <v>77</v>
      </c>
      <c r="B14" s="206">
        <v>0.23</v>
      </c>
    </row>
    <row r="15" spans="1:2" x14ac:dyDescent="0.25">
      <c r="A15" s="180" t="s">
        <v>108</v>
      </c>
      <c r="B15" s="206">
        <v>0</v>
      </c>
    </row>
    <row r="16" spans="1:2" x14ac:dyDescent="0.25">
      <c r="A16" s="179" t="s">
        <v>115</v>
      </c>
      <c r="B16" s="206">
        <v>0</v>
      </c>
    </row>
    <row r="17" spans="1:11" x14ac:dyDescent="0.25">
      <c r="A17" s="168" t="s">
        <v>122</v>
      </c>
      <c r="B17" s="201">
        <v>0</v>
      </c>
    </row>
    <row r="18" spans="1:11" x14ac:dyDescent="0.25">
      <c r="A18" s="168" t="s">
        <v>78</v>
      </c>
      <c r="B18" s="206">
        <v>22</v>
      </c>
    </row>
    <row r="19" spans="1:11" x14ac:dyDescent="0.25">
      <c r="A19" s="168" t="s">
        <v>79</v>
      </c>
      <c r="B19" s="168">
        <f>B73</f>
        <v>42</v>
      </c>
    </row>
    <row r="20" spans="1:11" x14ac:dyDescent="0.25">
      <c r="A20" s="168" t="s">
        <v>88</v>
      </c>
      <c r="B20" s="172">
        <v>270</v>
      </c>
    </row>
    <row r="22" spans="1:11" x14ac:dyDescent="0.25">
      <c r="A22" s="165"/>
      <c r="B22" s="184">
        <v>2024</v>
      </c>
      <c r="C22" s="185">
        <v>2025</v>
      </c>
      <c r="D22" s="186">
        <v>2026</v>
      </c>
      <c r="E22" s="195">
        <v>2027</v>
      </c>
      <c r="F22" s="196">
        <v>2028</v>
      </c>
      <c r="G22" s="196">
        <v>2029</v>
      </c>
      <c r="H22" s="196">
        <v>2030</v>
      </c>
      <c r="I22" s="196">
        <v>2031</v>
      </c>
      <c r="J22" s="197">
        <v>2032</v>
      </c>
      <c r="K22" s="160" t="s">
        <v>87</v>
      </c>
    </row>
    <row r="23" spans="1:11" x14ac:dyDescent="0.25">
      <c r="A23" t="s">
        <v>89</v>
      </c>
      <c r="B23" s="187">
        <f>'Level 2 Chargers'!G$57+'Level 3 Chargers'!G$57</f>
        <v>9.1870000000000012</v>
      </c>
      <c r="C23" s="169">
        <f>'Level 2 Chargers'!H$57+'Level 3 Chargers'!H$57</f>
        <v>11.119</v>
      </c>
      <c r="D23" s="188">
        <f>'Level 2 Chargers'!I$57+'Level 3 Chargers'!I$57</f>
        <v>13.051</v>
      </c>
      <c r="E23" s="187">
        <f>'Level 2 Chargers'!J$57+'Level 3 Chargers'!J$57</f>
        <v>14.983000000000002</v>
      </c>
      <c r="F23" s="169">
        <f>'Level 2 Chargers'!K$57+'Level 3 Chargers'!K$57</f>
        <v>16.914999999999999</v>
      </c>
      <c r="G23" s="169">
        <f>'Level 2 Chargers'!L$57+'Level 3 Chargers'!L$57</f>
        <v>18.847000000000001</v>
      </c>
      <c r="H23" s="169">
        <f>'Level 2 Chargers'!M$57+'Level 3 Chargers'!M$57</f>
        <v>20.779</v>
      </c>
      <c r="I23" s="169">
        <f>'Level 2 Chargers'!N$57+'Level 3 Chargers'!N$57</f>
        <v>22.711000000000002</v>
      </c>
      <c r="J23" s="188">
        <f>'Level 2 Chargers'!O$57+'Level 3 Chargers'!O$57</f>
        <v>24.643000000000001</v>
      </c>
      <c r="K23" s="169">
        <f>'Level 2 Chargers'!P$57+'Level 3 Chargers'!P$57</f>
        <v>26.574999999999999</v>
      </c>
    </row>
    <row r="24" spans="1:11" x14ac:dyDescent="0.25">
      <c r="A24" t="s">
        <v>82</v>
      </c>
      <c r="B24" s="189">
        <f t="shared" ref="B24:J24" si="0">B78</f>
        <v>299.48099999999999</v>
      </c>
      <c r="C24">
        <f t="shared" si="0"/>
        <v>408.715125</v>
      </c>
      <c r="D24" s="190">
        <f t="shared" si="0"/>
        <v>517.94925000000001</v>
      </c>
      <c r="E24" s="189">
        <f t="shared" si="0"/>
        <v>627.18337500000007</v>
      </c>
      <c r="F24">
        <f t="shared" si="0"/>
        <v>736.41750000000002</v>
      </c>
      <c r="G24">
        <f t="shared" si="0"/>
        <v>845.65162500000008</v>
      </c>
      <c r="H24">
        <f t="shared" si="0"/>
        <v>954.88574999999992</v>
      </c>
      <c r="I24">
        <f t="shared" si="0"/>
        <v>1064.1198749999999</v>
      </c>
      <c r="J24" s="190">
        <f t="shared" si="0"/>
        <v>1173.354</v>
      </c>
    </row>
    <row r="25" spans="1:11" x14ac:dyDescent="0.25">
      <c r="A25" t="s">
        <v>81</v>
      </c>
      <c r="B25" s="191">
        <f>B24*-$B$14</f>
        <v>-68.880629999999996</v>
      </c>
      <c r="C25" s="158">
        <f t="shared" ref="C25:J25" si="1">C24*-$B$14</f>
        <v>-94.004478750000004</v>
      </c>
      <c r="D25" s="183">
        <f t="shared" si="1"/>
        <v>-119.12832750000001</v>
      </c>
      <c r="E25" s="191">
        <f t="shared" si="1"/>
        <v>-144.25217625000002</v>
      </c>
      <c r="F25" s="158">
        <f t="shared" si="1"/>
        <v>-169.376025</v>
      </c>
      <c r="G25" s="158">
        <f t="shared" si="1"/>
        <v>-194.49987375000003</v>
      </c>
      <c r="H25" s="158">
        <f t="shared" si="1"/>
        <v>-219.62372249999999</v>
      </c>
      <c r="I25" s="158">
        <f t="shared" si="1"/>
        <v>-244.74757124999999</v>
      </c>
      <c r="J25" s="183">
        <f t="shared" si="1"/>
        <v>-269.87142</v>
      </c>
      <c r="K25" s="158">
        <f>K24*-$B$14</f>
        <v>0</v>
      </c>
    </row>
    <row r="26" spans="1:11" x14ac:dyDescent="0.25">
      <c r="A26" s="165" t="s">
        <v>83</v>
      </c>
      <c r="B26" s="192">
        <f>IF($B$15=0,$B$69*B24+B23*$B$17,$B$69*B24+B23*$B$17-'Level 2 Chargers'!G69*'Energy Usage Cash Flow Examples'!$B$15)</f>
        <v>0</v>
      </c>
      <c r="C26" s="166">
        <f>IF($B$15=0,$B$69*C24+C23*$B$17,$B$69*C24+C23*$B$17-'Level 2 Chargers'!H69*'Energy Usage Cash Flow Examples'!$B$15)</f>
        <v>0</v>
      </c>
      <c r="D26" s="182">
        <f>IF($B$15=0,$B$69*D24+D23*$B$17,$B$69*D24+D23*$B$17-'Level 2 Chargers'!I69*'Energy Usage Cash Flow Examples'!$B$15)</f>
        <v>0</v>
      </c>
      <c r="E26" s="198">
        <f>IF($B$16=0,$B$16*E24+$B$17*E23,$B$16*E24+$B$17*E23-'Level 2 Chargers'!J69*'Energy Usage Cash Flow Examples'!$B$16)</f>
        <v>0</v>
      </c>
      <c r="F26" s="167">
        <f>IF($B$16=0,$B$16*F24+$B$17*F23,$B$16*F24+$B$17*F23-'Level 2 Chargers'!K69*'Energy Usage Cash Flow Examples'!$B$16)</f>
        <v>0</v>
      </c>
      <c r="G26" s="167">
        <f>IF($B$16=0,$B$16*G24+$B$17*G23,$B$16*G24+$B$17*G23-'Level 2 Chargers'!L69*'Energy Usage Cash Flow Examples'!$B$16)</f>
        <v>0</v>
      </c>
      <c r="H26" s="167">
        <f>IF($B$16=0,$B$16*H24+$B$17*H23,$B$16*H24+$B$17*H23-'Level 2 Chargers'!M69*'Energy Usage Cash Flow Examples'!$B$16)</f>
        <v>0</v>
      </c>
      <c r="I26" s="167">
        <f>IF($B$16=0,$B$16*I24+$B$17*I23,$B$16*I24+$B$17*I23-'Level 2 Chargers'!N69*'Energy Usage Cash Flow Examples'!$B$16)</f>
        <v>0</v>
      </c>
      <c r="J26" s="199">
        <f>IF($B$16=0,$B$16*J24+$B$17*J23,$B$16*J24+$B$17*J23-'Level 2 Chargers'!O69*'Energy Usage Cash Flow Examples'!$B$16)</f>
        <v>0</v>
      </c>
      <c r="K26" s="166">
        <f t="shared" ref="K26" si="2">$B$69*K24+K23*$B$17</f>
        <v>0</v>
      </c>
    </row>
    <row r="27" spans="1:11" x14ac:dyDescent="0.25">
      <c r="A27" t="s">
        <v>80</v>
      </c>
      <c r="B27" s="189">
        <f t="shared" ref="B27:J27" si="3">B24*365</f>
        <v>109310.565</v>
      </c>
      <c r="C27">
        <f t="shared" si="3"/>
        <v>149181.020625</v>
      </c>
      <c r="D27" s="190">
        <f t="shared" si="3"/>
        <v>189051.47625000001</v>
      </c>
      <c r="E27" s="189">
        <f t="shared" si="3"/>
        <v>228921.93187500004</v>
      </c>
      <c r="F27">
        <f t="shared" si="3"/>
        <v>268792.38750000001</v>
      </c>
      <c r="G27">
        <f t="shared" si="3"/>
        <v>308662.84312500001</v>
      </c>
      <c r="H27">
        <f t="shared" si="3"/>
        <v>348533.29874999996</v>
      </c>
      <c r="I27">
        <f t="shared" si="3"/>
        <v>388403.75437499996</v>
      </c>
      <c r="J27" s="190">
        <f t="shared" si="3"/>
        <v>428274.21</v>
      </c>
      <c r="K27" s="161">
        <f>SUM(B27:J27)</f>
        <v>2419131.4875000003</v>
      </c>
    </row>
    <row r="28" spans="1:11" x14ac:dyDescent="0.25">
      <c r="A28" t="s">
        <v>84</v>
      </c>
      <c r="B28" s="191">
        <f t="shared" ref="B28:J28" si="4">B25*365</f>
        <v>-25141.429949999998</v>
      </c>
      <c r="C28" s="158">
        <f t="shared" si="4"/>
        <v>-34311.634743750001</v>
      </c>
      <c r="D28" s="183">
        <f t="shared" si="4"/>
        <v>-43481.839537500004</v>
      </c>
      <c r="E28" s="191">
        <f t="shared" si="4"/>
        <v>-52652.044331250007</v>
      </c>
      <c r="F28" s="158">
        <f t="shared" si="4"/>
        <v>-61822.249125000002</v>
      </c>
      <c r="G28" s="158">
        <f t="shared" si="4"/>
        <v>-70992.45391875002</v>
      </c>
      <c r="H28" s="158">
        <f t="shared" si="4"/>
        <v>-80162.658712499993</v>
      </c>
      <c r="I28" s="158">
        <f t="shared" si="4"/>
        <v>-89332.863506249996</v>
      </c>
      <c r="J28" s="183">
        <f t="shared" si="4"/>
        <v>-98503.068299999999</v>
      </c>
      <c r="K28" s="158">
        <f t="shared" ref="K28:K31" si="5">SUM(B28:J28)</f>
        <v>-556400.24212500011</v>
      </c>
    </row>
    <row r="29" spans="1:11" x14ac:dyDescent="0.25">
      <c r="A29" t="s">
        <v>145</v>
      </c>
      <c r="B29" s="191">
        <f>-$B$20*12*4</f>
        <v>-12960</v>
      </c>
      <c r="C29" s="158">
        <f t="shared" ref="C29:J29" si="6">-$B$20*12*4</f>
        <v>-12960</v>
      </c>
      <c r="D29" s="183">
        <f t="shared" si="6"/>
        <v>-12960</v>
      </c>
      <c r="E29" s="191">
        <f t="shared" si="6"/>
        <v>-12960</v>
      </c>
      <c r="F29" s="158">
        <f t="shared" si="6"/>
        <v>-12960</v>
      </c>
      <c r="G29" s="158">
        <f t="shared" si="6"/>
        <v>-12960</v>
      </c>
      <c r="H29" s="158">
        <f t="shared" si="6"/>
        <v>-12960</v>
      </c>
      <c r="I29" s="158">
        <f t="shared" si="6"/>
        <v>-12960</v>
      </c>
      <c r="J29" s="183">
        <f t="shared" si="6"/>
        <v>-12960</v>
      </c>
      <c r="K29" s="158"/>
    </row>
    <row r="30" spans="1:11" x14ac:dyDescent="0.25">
      <c r="A30" t="s">
        <v>146</v>
      </c>
      <c r="B30" s="191">
        <f>-$B$18*$B$19</f>
        <v>-924</v>
      </c>
      <c r="C30" s="158">
        <f t="shared" ref="C30:J30" si="7">-$B$43*$B$44</f>
        <v>-924</v>
      </c>
      <c r="D30" s="183">
        <f t="shared" si="7"/>
        <v>-924</v>
      </c>
      <c r="E30" s="191">
        <f t="shared" si="7"/>
        <v>-924</v>
      </c>
      <c r="F30" s="158">
        <f t="shared" si="7"/>
        <v>-924</v>
      </c>
      <c r="G30" s="158">
        <f t="shared" si="7"/>
        <v>-924</v>
      </c>
      <c r="H30" s="158">
        <f t="shared" si="7"/>
        <v>-924</v>
      </c>
      <c r="I30" s="158">
        <f t="shared" si="7"/>
        <v>-924</v>
      </c>
      <c r="J30" s="183">
        <f t="shared" si="7"/>
        <v>-924</v>
      </c>
      <c r="K30" s="158">
        <f t="shared" si="5"/>
        <v>-8316</v>
      </c>
    </row>
    <row r="31" spans="1:11" ht="15.75" thickBot="1" x14ac:dyDescent="0.3">
      <c r="A31" s="162" t="s">
        <v>85</v>
      </c>
      <c r="B31" s="193">
        <f t="shared" ref="B31:J31" si="8">B26*365</f>
        <v>0</v>
      </c>
      <c r="C31" s="163">
        <f t="shared" si="8"/>
        <v>0</v>
      </c>
      <c r="D31" s="194">
        <f t="shared" si="8"/>
        <v>0</v>
      </c>
      <c r="E31" s="193">
        <f t="shared" si="8"/>
        <v>0</v>
      </c>
      <c r="F31" s="163">
        <f t="shared" si="8"/>
        <v>0</v>
      </c>
      <c r="G31" s="163">
        <f t="shared" si="8"/>
        <v>0</v>
      </c>
      <c r="H31" s="163">
        <f t="shared" si="8"/>
        <v>0</v>
      </c>
      <c r="I31" s="163">
        <f t="shared" si="8"/>
        <v>0</v>
      </c>
      <c r="J31" s="194">
        <f t="shared" si="8"/>
        <v>0</v>
      </c>
      <c r="K31" s="158">
        <f t="shared" si="5"/>
        <v>0</v>
      </c>
    </row>
    <row r="32" spans="1:11" ht="15.75" thickTop="1" x14ac:dyDescent="0.25">
      <c r="A32" t="s">
        <v>113</v>
      </c>
      <c r="B32" s="192">
        <f t="shared" ref="B32:J32" si="9">SUM(B28:B31)</f>
        <v>-39025.429949999998</v>
      </c>
      <c r="C32" s="166">
        <f t="shared" si="9"/>
        <v>-48195.634743750001</v>
      </c>
      <c r="D32" s="182">
        <f t="shared" si="9"/>
        <v>-57365.839537500004</v>
      </c>
      <c r="E32" s="192">
        <f t="shared" si="9"/>
        <v>-66536.044331250014</v>
      </c>
      <c r="F32" s="166">
        <f t="shared" si="9"/>
        <v>-75706.249125000002</v>
      </c>
      <c r="G32" s="166">
        <f t="shared" si="9"/>
        <v>-84876.45391875002</v>
      </c>
      <c r="H32" s="166">
        <f t="shared" si="9"/>
        <v>-94046.658712499993</v>
      </c>
      <c r="I32" s="166">
        <f t="shared" si="9"/>
        <v>-103216.86350625</v>
      </c>
      <c r="J32" s="182">
        <f t="shared" si="9"/>
        <v>-112387.0683</v>
      </c>
      <c r="K32" s="158">
        <f>SUM(B32:J32)</f>
        <v>-681356.24212500011</v>
      </c>
    </row>
    <row r="33" spans="1:11" x14ac:dyDescent="0.25">
      <c r="B33" s="158"/>
      <c r="C33" s="158"/>
      <c r="D33" s="158"/>
      <c r="E33" s="158"/>
      <c r="F33" s="158"/>
      <c r="G33" s="158"/>
      <c r="H33" s="158"/>
      <c r="I33" s="158"/>
      <c r="J33" s="158"/>
      <c r="K33" s="158"/>
    </row>
    <row r="34" spans="1:11" x14ac:dyDescent="0.25">
      <c r="B34" s="158"/>
      <c r="C34" s="158"/>
      <c r="D34" s="158"/>
      <c r="E34" s="158"/>
      <c r="F34" s="158"/>
      <c r="G34" s="158"/>
      <c r="H34" s="158"/>
      <c r="I34" s="158"/>
      <c r="J34" s="158"/>
      <c r="K34" s="158"/>
    </row>
    <row r="38" spans="1:11" ht="18.75" x14ac:dyDescent="0.3">
      <c r="A38" s="200" t="s">
        <v>135</v>
      </c>
    </row>
    <row r="39" spans="1:11" x14ac:dyDescent="0.25">
      <c r="A39" s="168" t="s">
        <v>77</v>
      </c>
      <c r="B39" s="201">
        <v>0.23</v>
      </c>
    </row>
    <row r="40" spans="1:11" x14ac:dyDescent="0.25">
      <c r="A40" s="180" t="s">
        <v>108</v>
      </c>
      <c r="B40" s="206">
        <f>0.1</f>
        <v>0.1</v>
      </c>
    </row>
    <row r="41" spans="1:11" x14ac:dyDescent="0.25">
      <c r="A41" s="179" t="s">
        <v>115</v>
      </c>
      <c r="B41" s="201">
        <v>0.39</v>
      </c>
    </row>
    <row r="42" spans="1:11" x14ac:dyDescent="0.25">
      <c r="A42" s="168" t="s">
        <v>90</v>
      </c>
      <c r="B42" s="201">
        <v>0</v>
      </c>
    </row>
    <row r="43" spans="1:11" x14ac:dyDescent="0.25">
      <c r="A43" s="168" t="s">
        <v>78</v>
      </c>
      <c r="B43" s="201">
        <v>22</v>
      </c>
    </row>
    <row r="44" spans="1:11" x14ac:dyDescent="0.25">
      <c r="A44" s="168" t="s">
        <v>79</v>
      </c>
      <c r="B44" s="168">
        <f>'Level 2 Chargers'!E29+'Level 3 Chargers'!E29</f>
        <v>42</v>
      </c>
    </row>
    <row r="45" spans="1:11" x14ac:dyDescent="0.25">
      <c r="A45" s="168" t="s">
        <v>88</v>
      </c>
      <c r="B45" s="172">
        <v>270</v>
      </c>
    </row>
    <row r="47" spans="1:11" x14ac:dyDescent="0.25">
      <c r="A47" s="165"/>
      <c r="B47" s="184">
        <v>2024</v>
      </c>
      <c r="C47" s="185">
        <v>2025</v>
      </c>
      <c r="D47" s="186">
        <v>2026</v>
      </c>
      <c r="E47" s="195">
        <v>2027</v>
      </c>
      <c r="F47" s="196">
        <v>2028</v>
      </c>
      <c r="G47" s="196">
        <v>2029</v>
      </c>
      <c r="H47" s="196">
        <v>2030</v>
      </c>
      <c r="I47" s="196">
        <v>2031</v>
      </c>
      <c r="J47" s="197">
        <v>2032</v>
      </c>
      <c r="K47" s="160" t="s">
        <v>87</v>
      </c>
    </row>
    <row r="48" spans="1:11" x14ac:dyDescent="0.25">
      <c r="A48" t="s">
        <v>89</v>
      </c>
      <c r="B48" s="187">
        <f>'Level 2 Chargers'!G$57+'Level 3 Chargers'!G$57</f>
        <v>9.1870000000000012</v>
      </c>
      <c r="C48" s="169">
        <f>'Level 2 Chargers'!H$57+'Level 3 Chargers'!H$57</f>
        <v>11.119</v>
      </c>
      <c r="D48" s="188">
        <f>'Level 2 Chargers'!I$57+'Level 3 Chargers'!I$57</f>
        <v>13.051</v>
      </c>
      <c r="E48" s="187">
        <f>'Level 2 Chargers'!J$57+'Level 3 Chargers'!J$57</f>
        <v>14.983000000000002</v>
      </c>
      <c r="F48" s="169">
        <f>'Level 2 Chargers'!K$57+'Level 3 Chargers'!K$57</f>
        <v>16.914999999999999</v>
      </c>
      <c r="G48" s="169">
        <f>'Level 2 Chargers'!L$57+'Level 3 Chargers'!L$57</f>
        <v>18.847000000000001</v>
      </c>
      <c r="H48" s="169">
        <f>'Level 2 Chargers'!M$57+'Level 3 Chargers'!M$57</f>
        <v>20.779</v>
      </c>
      <c r="I48" s="169">
        <f>'Level 2 Chargers'!N$57+'Level 3 Chargers'!N$57</f>
        <v>22.711000000000002</v>
      </c>
      <c r="J48" s="188">
        <f>'Level 2 Chargers'!O$57+'Level 3 Chargers'!O$57</f>
        <v>24.643000000000001</v>
      </c>
    </row>
    <row r="49" spans="1:11" x14ac:dyDescent="0.25">
      <c r="A49" t="s">
        <v>82</v>
      </c>
      <c r="B49" s="189">
        <f>'Level 2 Chargers'!G68+'Level 3 Chargers'!G68</f>
        <v>299.48099999999999</v>
      </c>
      <c r="C49">
        <f>'Level 2 Chargers'!H68+'Level 3 Chargers'!H68</f>
        <v>408.715125</v>
      </c>
      <c r="D49" s="190">
        <f>'Level 2 Chargers'!I68+'Level 3 Chargers'!I68</f>
        <v>517.94925000000001</v>
      </c>
      <c r="E49" s="189">
        <f>'Level 2 Chargers'!J68+'Level 3 Chargers'!J68</f>
        <v>627.18337500000007</v>
      </c>
      <c r="F49">
        <f>'Level 2 Chargers'!K68+'Level 3 Chargers'!K68</f>
        <v>736.41750000000002</v>
      </c>
      <c r="G49">
        <f>'Level 2 Chargers'!L68+'Level 3 Chargers'!L68</f>
        <v>845.65162500000008</v>
      </c>
      <c r="H49">
        <f>'Level 2 Chargers'!M68+'Level 3 Chargers'!M68</f>
        <v>954.88574999999992</v>
      </c>
      <c r="I49">
        <f>'Level 2 Chargers'!N68+'Level 3 Chargers'!N68</f>
        <v>1064.1198749999999</v>
      </c>
      <c r="J49" s="190">
        <f>'Level 2 Chargers'!O68+'Level 3 Chargers'!O68</f>
        <v>1173.354</v>
      </c>
      <c r="K49" s="159"/>
    </row>
    <row r="50" spans="1:11" x14ac:dyDescent="0.25">
      <c r="A50" t="s">
        <v>81</v>
      </c>
      <c r="B50" s="191">
        <f t="shared" ref="B50:J50" si="10">B49*-$B$39</f>
        <v>-68.880629999999996</v>
      </c>
      <c r="C50" s="158">
        <f t="shared" si="10"/>
        <v>-94.004478750000004</v>
      </c>
      <c r="D50" s="183">
        <f t="shared" si="10"/>
        <v>-119.12832750000001</v>
      </c>
      <c r="E50" s="191">
        <f t="shared" si="10"/>
        <v>-144.25217625000002</v>
      </c>
      <c r="F50" s="158">
        <f t="shared" si="10"/>
        <v>-169.376025</v>
      </c>
      <c r="G50" s="158">
        <f t="shared" si="10"/>
        <v>-194.49987375000003</v>
      </c>
      <c r="H50" s="158">
        <f t="shared" si="10"/>
        <v>-219.62372249999999</v>
      </c>
      <c r="I50" s="158">
        <f t="shared" si="10"/>
        <v>-244.74757124999999</v>
      </c>
      <c r="J50" s="183">
        <f t="shared" si="10"/>
        <v>-269.87142</v>
      </c>
      <c r="K50" s="159"/>
    </row>
    <row r="51" spans="1:11" x14ac:dyDescent="0.25">
      <c r="A51" s="165" t="s">
        <v>83</v>
      </c>
      <c r="B51" s="192">
        <f>IF($B$40=0,$B$40*B49+$B$42*B48,$B$40*B49+$B$42*B48-'Level 2 Chargers'!G69*'Energy Usage Cash Flow Examples'!$B$40)</f>
        <v>22.577099999999998</v>
      </c>
      <c r="C51" s="166">
        <f>IF($B$40=0,$B$40*C49+$B$42*C48,$B$40*C49+$B$42*C48-'Level 2 Chargers'!H69*'Energy Usage Cash Flow Examples'!$B$40)</f>
        <v>31.043512499999999</v>
      </c>
      <c r="D51" s="182">
        <f>IF($B$40=0,$B$40*D49+$B$42*D48,$B$40*D49+$B$42*D48-'Level 2 Chargers'!I69*'Energy Usage Cash Flow Examples'!$B$40)</f>
        <v>39.50992500000001</v>
      </c>
      <c r="E51" s="198">
        <f>IF($B$41=0,$B$41*E49+$B$42*E48,$B$41*E49+$B$42*E48-'Level 2 Chargers'!J69*'Energy Usage Cash Flow Examples'!$B$41)</f>
        <v>187.10771625000001</v>
      </c>
      <c r="F51" s="198">
        <f>IF($B$41=0,$B$41*F49+$B$42*F48,$B$41*F49+$B$42*F48-'Level 2 Chargers'!K69*'Energy Usage Cash Flow Examples'!$B$41)</f>
        <v>220.12672500000002</v>
      </c>
      <c r="G51" s="198">
        <f>IF($B$41=0,$B$41*G49+$B$42*G48,$B$41*G49+$B$42*G48-'Level 2 Chargers'!L69*'Energy Usage Cash Flow Examples'!$B$41)</f>
        <v>253.14573375000003</v>
      </c>
      <c r="H51" s="198">
        <f>IF($B$41=0,$B$41*H49+$B$42*H48,$B$41*H49+$B$42*H48-'Level 2 Chargers'!M69*'Energy Usage Cash Flow Examples'!$B$41)</f>
        <v>286.16474249999999</v>
      </c>
      <c r="I51" s="198">
        <f>IF($B$41=0,$B$41*I49+$B$42*I48,$B$41*I49+$B$42*I48-'Level 2 Chargers'!N69*'Energy Usage Cash Flow Examples'!$B$41)</f>
        <v>319.18375125</v>
      </c>
      <c r="J51" s="198">
        <f>IF($B$41=0,$B$41*J49+$B$42*J48,$B$41*J49+$B$42*J48-'Level 2 Chargers'!O69*'Energy Usage Cash Flow Examples'!$B$41)</f>
        <v>352.20276000000001</v>
      </c>
      <c r="K51" s="167">
        <f t="shared" ref="K51" si="11">$B$41*K49+$B$42*K48</f>
        <v>0</v>
      </c>
    </row>
    <row r="52" spans="1:11" x14ac:dyDescent="0.25">
      <c r="A52" t="s">
        <v>80</v>
      </c>
      <c r="B52" s="189">
        <f t="shared" ref="B52:J52" si="12">B49*365</f>
        <v>109310.565</v>
      </c>
      <c r="C52">
        <f t="shared" si="12"/>
        <v>149181.020625</v>
      </c>
      <c r="D52" s="190">
        <f t="shared" si="12"/>
        <v>189051.47625000001</v>
      </c>
      <c r="E52" s="189">
        <f t="shared" si="12"/>
        <v>228921.93187500004</v>
      </c>
      <c r="F52">
        <f t="shared" si="12"/>
        <v>268792.38750000001</v>
      </c>
      <c r="G52">
        <f t="shared" si="12"/>
        <v>308662.84312500001</v>
      </c>
      <c r="H52">
        <f t="shared" si="12"/>
        <v>348533.29874999996</v>
      </c>
      <c r="I52">
        <f t="shared" si="12"/>
        <v>388403.75437499996</v>
      </c>
      <c r="J52" s="190">
        <f t="shared" si="12"/>
        <v>428274.21</v>
      </c>
      <c r="K52" s="159">
        <f>SUM(B53:J53)</f>
        <v>-556400.24212500011</v>
      </c>
    </row>
    <row r="53" spans="1:11" x14ac:dyDescent="0.25">
      <c r="A53" t="s">
        <v>84</v>
      </c>
      <c r="B53" s="191">
        <f t="shared" ref="B53:J53" si="13">B50*365</f>
        <v>-25141.429949999998</v>
      </c>
      <c r="C53" s="158">
        <f t="shared" si="13"/>
        <v>-34311.634743750001</v>
      </c>
      <c r="D53" s="183">
        <f t="shared" si="13"/>
        <v>-43481.839537500004</v>
      </c>
      <c r="E53" s="191">
        <f t="shared" si="13"/>
        <v>-52652.044331250007</v>
      </c>
      <c r="F53" s="158">
        <f t="shared" si="13"/>
        <v>-61822.249125000002</v>
      </c>
      <c r="G53" s="158">
        <f t="shared" si="13"/>
        <v>-70992.45391875002</v>
      </c>
      <c r="H53" s="158">
        <f t="shared" si="13"/>
        <v>-80162.658712499993</v>
      </c>
      <c r="I53" s="158">
        <f t="shared" si="13"/>
        <v>-89332.863506249996</v>
      </c>
      <c r="J53" s="183">
        <f t="shared" si="13"/>
        <v>-98503.068299999999</v>
      </c>
      <c r="K53" s="158"/>
    </row>
    <row r="54" spans="1:11" x14ac:dyDescent="0.25">
      <c r="A54" t="s">
        <v>145</v>
      </c>
      <c r="B54" s="191">
        <f>-$B$45*12*4</f>
        <v>-12960</v>
      </c>
      <c r="C54" s="158">
        <f t="shared" ref="C54:J54" si="14">-$B$45*12*4</f>
        <v>-12960</v>
      </c>
      <c r="D54" s="183">
        <f t="shared" si="14"/>
        <v>-12960</v>
      </c>
      <c r="E54" s="191">
        <f t="shared" si="14"/>
        <v>-12960</v>
      </c>
      <c r="F54" s="158">
        <f t="shared" si="14"/>
        <v>-12960</v>
      </c>
      <c r="G54" s="158">
        <f t="shared" si="14"/>
        <v>-12960</v>
      </c>
      <c r="H54" s="158">
        <f t="shared" si="14"/>
        <v>-12960</v>
      </c>
      <c r="I54" s="158">
        <f t="shared" si="14"/>
        <v>-12960</v>
      </c>
      <c r="J54" s="183">
        <f t="shared" si="14"/>
        <v>-12960</v>
      </c>
      <c r="K54" s="159">
        <f>SUM(B55:J55)</f>
        <v>-8316</v>
      </c>
    </row>
    <row r="55" spans="1:11" x14ac:dyDescent="0.25">
      <c r="A55" t="s">
        <v>146</v>
      </c>
      <c r="B55" s="191">
        <f>-$B$43*$B$44</f>
        <v>-924</v>
      </c>
      <c r="C55" s="158">
        <f t="shared" ref="C55:J55" si="15">-$B$43*$B$44</f>
        <v>-924</v>
      </c>
      <c r="D55" s="183">
        <f t="shared" si="15"/>
        <v>-924</v>
      </c>
      <c r="E55" s="191">
        <f t="shared" si="15"/>
        <v>-924</v>
      </c>
      <c r="F55" s="158">
        <f t="shared" si="15"/>
        <v>-924</v>
      </c>
      <c r="G55" s="158">
        <f t="shared" si="15"/>
        <v>-924</v>
      </c>
      <c r="H55" s="158">
        <f t="shared" si="15"/>
        <v>-924</v>
      </c>
      <c r="I55" s="158">
        <f t="shared" si="15"/>
        <v>-924</v>
      </c>
      <c r="J55" s="183">
        <f t="shared" si="15"/>
        <v>-924</v>
      </c>
      <c r="K55" s="159">
        <f>SUM(B56:J56)</f>
        <v>624537.61768125009</v>
      </c>
    </row>
    <row r="56" spans="1:11" ht="15.75" thickBot="1" x14ac:dyDescent="0.3">
      <c r="A56" s="162" t="s">
        <v>85</v>
      </c>
      <c r="B56" s="193">
        <f t="shared" ref="B56:J56" si="16">B51*365</f>
        <v>8240.6414999999997</v>
      </c>
      <c r="C56" s="163">
        <f t="shared" si="16"/>
        <v>11330.882062499999</v>
      </c>
      <c r="D56" s="194">
        <f t="shared" si="16"/>
        <v>14421.122625000004</v>
      </c>
      <c r="E56" s="193">
        <f t="shared" si="16"/>
        <v>68294.316431250001</v>
      </c>
      <c r="F56" s="163">
        <f t="shared" si="16"/>
        <v>80346.254625000001</v>
      </c>
      <c r="G56" s="163">
        <f t="shared" si="16"/>
        <v>92398.192818750016</v>
      </c>
      <c r="H56" s="163">
        <f t="shared" si="16"/>
        <v>104450.1310125</v>
      </c>
      <c r="I56" s="163">
        <f t="shared" si="16"/>
        <v>116502.06920625</v>
      </c>
      <c r="J56" s="194">
        <f t="shared" si="16"/>
        <v>128554.0074</v>
      </c>
      <c r="K56" s="158">
        <f>SUM(B57:J57)</f>
        <v>-56818.624443750014</v>
      </c>
    </row>
    <row r="57" spans="1:11" ht="15.75" thickTop="1" x14ac:dyDescent="0.25">
      <c r="A57" t="s">
        <v>86</v>
      </c>
      <c r="B57" s="192">
        <f t="shared" ref="B57:J57" si="17">SUM(B53:B56)</f>
        <v>-30784.78845</v>
      </c>
      <c r="C57" s="166">
        <f t="shared" si="17"/>
        <v>-36864.75268125</v>
      </c>
      <c r="D57" s="182">
        <f t="shared" si="17"/>
        <v>-42944.7169125</v>
      </c>
      <c r="E57" s="192">
        <f t="shared" si="17"/>
        <v>1758.2720999999874</v>
      </c>
      <c r="F57" s="166">
        <f t="shared" si="17"/>
        <v>4640.0054999999993</v>
      </c>
      <c r="G57" s="166">
        <f t="shared" si="17"/>
        <v>7521.7388999999966</v>
      </c>
      <c r="H57" s="166">
        <f t="shared" si="17"/>
        <v>10403.472300000009</v>
      </c>
      <c r="I57" s="166">
        <f t="shared" si="17"/>
        <v>13285.205700000006</v>
      </c>
      <c r="J57" s="182">
        <f t="shared" si="17"/>
        <v>16166.939100000003</v>
      </c>
    </row>
    <row r="60" spans="1:11" x14ac:dyDescent="0.25">
      <c r="C60" s="158"/>
    </row>
    <row r="67" spans="1:11" ht="18.75" x14ac:dyDescent="0.3">
      <c r="A67" s="200" t="s">
        <v>132</v>
      </c>
    </row>
    <row r="68" spans="1:11" x14ac:dyDescent="0.25">
      <c r="A68" s="168" t="s">
        <v>77</v>
      </c>
      <c r="B68" s="201">
        <v>0.23</v>
      </c>
    </row>
    <row r="69" spans="1:11" x14ac:dyDescent="0.25">
      <c r="A69" s="180" t="s">
        <v>108</v>
      </c>
      <c r="B69" s="206">
        <v>0</v>
      </c>
    </row>
    <row r="70" spans="1:11" x14ac:dyDescent="0.25">
      <c r="A70" s="179" t="s">
        <v>115</v>
      </c>
      <c r="B70" s="201">
        <v>0.39</v>
      </c>
    </row>
    <row r="71" spans="1:11" x14ac:dyDescent="0.25">
      <c r="A71" s="168" t="s">
        <v>90</v>
      </c>
      <c r="B71" s="201">
        <v>0</v>
      </c>
    </row>
    <row r="72" spans="1:11" x14ac:dyDescent="0.25">
      <c r="A72" s="168" t="s">
        <v>78</v>
      </c>
      <c r="B72" s="201">
        <v>22</v>
      </c>
    </row>
    <row r="73" spans="1:11" x14ac:dyDescent="0.25">
      <c r="A73" s="168" t="s">
        <v>79</v>
      </c>
      <c r="B73" s="168">
        <f>B44</f>
        <v>42</v>
      </c>
    </row>
    <row r="74" spans="1:11" x14ac:dyDescent="0.25">
      <c r="A74" s="168" t="s">
        <v>88</v>
      </c>
      <c r="B74" s="172">
        <v>270</v>
      </c>
    </row>
    <row r="75" spans="1:11" x14ac:dyDescent="0.25">
      <c r="K75" s="160" t="s">
        <v>87</v>
      </c>
    </row>
    <row r="76" spans="1:11" x14ac:dyDescent="0.25">
      <c r="A76" s="165"/>
      <c r="B76" s="184">
        <v>2024</v>
      </c>
      <c r="C76" s="185">
        <v>2025</v>
      </c>
      <c r="D76" s="186">
        <v>2026</v>
      </c>
      <c r="E76" s="195">
        <v>2027</v>
      </c>
      <c r="F76" s="196">
        <v>2028</v>
      </c>
      <c r="G76" s="196">
        <v>2029</v>
      </c>
      <c r="H76" s="196">
        <v>2030</v>
      </c>
      <c r="I76" s="196">
        <v>2031</v>
      </c>
      <c r="J76" s="197">
        <v>2032</v>
      </c>
    </row>
    <row r="77" spans="1:11" x14ac:dyDescent="0.25">
      <c r="A77" t="s">
        <v>89</v>
      </c>
      <c r="B77" s="187">
        <f>'Level 2 Chargers'!G$57+'Level 3 Chargers'!G$57</f>
        <v>9.1870000000000012</v>
      </c>
      <c r="C77" s="169">
        <f>'Level 2 Chargers'!H$57+'Level 3 Chargers'!H$57</f>
        <v>11.119</v>
      </c>
      <c r="D77" s="188">
        <f>'Level 2 Chargers'!I$57+'Level 3 Chargers'!I$57</f>
        <v>13.051</v>
      </c>
      <c r="E77" s="187">
        <f>'Level 2 Chargers'!J$57+'Level 3 Chargers'!J$57</f>
        <v>14.983000000000002</v>
      </c>
      <c r="F77" s="169">
        <f>'Level 2 Chargers'!K$57+'Level 3 Chargers'!K$57</f>
        <v>16.914999999999999</v>
      </c>
      <c r="G77" s="169">
        <f>'Level 2 Chargers'!L$57+'Level 3 Chargers'!L$57</f>
        <v>18.847000000000001</v>
      </c>
      <c r="H77" s="169">
        <f>'Level 2 Chargers'!M$57+'Level 3 Chargers'!M$57</f>
        <v>20.779</v>
      </c>
      <c r="I77" s="169">
        <f>'Level 2 Chargers'!N$57+'Level 3 Chargers'!N$57</f>
        <v>22.711000000000002</v>
      </c>
      <c r="J77" s="188">
        <f>'Level 2 Chargers'!O$57+'Level 3 Chargers'!O$57</f>
        <v>24.643000000000001</v>
      </c>
    </row>
    <row r="78" spans="1:11" x14ac:dyDescent="0.25">
      <c r="A78" t="s">
        <v>82</v>
      </c>
      <c r="B78" s="189">
        <f t="shared" ref="B78:J78" si="18">B49</f>
        <v>299.48099999999999</v>
      </c>
      <c r="C78">
        <f t="shared" si="18"/>
        <v>408.715125</v>
      </c>
      <c r="D78" s="190">
        <f t="shared" si="18"/>
        <v>517.94925000000001</v>
      </c>
      <c r="E78" s="189">
        <f t="shared" si="18"/>
        <v>627.18337500000007</v>
      </c>
      <c r="F78">
        <f t="shared" si="18"/>
        <v>736.41750000000002</v>
      </c>
      <c r="G78">
        <f t="shared" si="18"/>
        <v>845.65162500000008</v>
      </c>
      <c r="H78">
        <f t="shared" si="18"/>
        <v>954.88574999999992</v>
      </c>
      <c r="I78">
        <f t="shared" si="18"/>
        <v>1064.1198749999999</v>
      </c>
      <c r="J78" s="190">
        <f t="shared" si="18"/>
        <v>1173.354</v>
      </c>
    </row>
    <row r="79" spans="1:11" x14ac:dyDescent="0.25">
      <c r="A79" t="s">
        <v>81</v>
      </c>
      <c r="B79" s="191">
        <f t="shared" ref="B79:J79" si="19">B78*-$B$68</f>
        <v>-68.880629999999996</v>
      </c>
      <c r="C79" s="158">
        <f t="shared" si="19"/>
        <v>-94.004478750000004</v>
      </c>
      <c r="D79" s="183">
        <f t="shared" si="19"/>
        <v>-119.12832750000001</v>
      </c>
      <c r="E79" s="191">
        <f t="shared" si="19"/>
        <v>-144.25217625000002</v>
      </c>
      <c r="F79" s="158">
        <f t="shared" si="19"/>
        <v>-169.376025</v>
      </c>
      <c r="G79" s="158">
        <f t="shared" si="19"/>
        <v>-194.49987375000003</v>
      </c>
      <c r="H79" s="158">
        <f t="shared" si="19"/>
        <v>-219.62372249999999</v>
      </c>
      <c r="I79" s="158">
        <f t="shared" si="19"/>
        <v>-244.74757124999999</v>
      </c>
      <c r="J79" s="183">
        <f t="shared" si="19"/>
        <v>-269.87142</v>
      </c>
      <c r="K79" s="161">
        <f>SUM(B81:J81)</f>
        <v>2419131.4875000003</v>
      </c>
    </row>
    <row r="80" spans="1:11" x14ac:dyDescent="0.25">
      <c r="A80" s="165" t="s">
        <v>83</v>
      </c>
      <c r="B80" s="192">
        <f>IF($B$69=0,$B$69*B78+$B$71*B77,$B$69*B78+$B$71*B77-'Level 2 Chargers'!G69*'Energy Usage Cash Flow Examples'!$B$69)</f>
        <v>0</v>
      </c>
      <c r="C80" s="166">
        <f>IF($B$69=0,$B$69*C78+$B$71*C77,$B$69*C78+$B$71*C77-'Level 2 Chargers'!H69*'Energy Usage Cash Flow Examples'!$B$69)</f>
        <v>0</v>
      </c>
      <c r="D80" s="182">
        <f>IF($B$69=0,$B$69*D78+$B$71*D77,$B$69*D78+$B$71*D77-'Level 2 Chargers'!I69*'Energy Usage Cash Flow Examples'!$B$69)</f>
        <v>0</v>
      </c>
      <c r="E80" s="192">
        <f>IF($B$70=0,$B$70*E78+$B$71*E77,$B$70*E78+$B$71*E77-'Level 2 Chargers'!J69*'Energy Usage Cash Flow Examples'!$B$70)</f>
        <v>187.10771625000001</v>
      </c>
      <c r="F80" s="166">
        <f>IF($B$70=0,$B$70*F78+$B$71*F77,$B$70*F78+$B$71*F77-'Level 2 Chargers'!K69*'Energy Usage Cash Flow Examples'!$B$70)</f>
        <v>220.12672500000002</v>
      </c>
      <c r="G80" s="166">
        <f>IF($B$70=0,$B$70*G78+$B$71*G77,$B$70*G78+$B$71*G77-'Level 2 Chargers'!L69*'Energy Usage Cash Flow Examples'!$B$70)</f>
        <v>253.14573375000003</v>
      </c>
      <c r="H80" s="166">
        <f>IF($B$70=0,$B$70*H78+$B$71*H77,$B$70*H78+$B$71*H77-'Level 2 Chargers'!M69*'Energy Usage Cash Flow Examples'!$B$70)</f>
        <v>286.16474249999999</v>
      </c>
      <c r="I80" s="166">
        <f>IF($B$70=0,$B$70*I78+$B$71*I77,$B$70*I78+$B$71*I77-'Level 2 Chargers'!N69*'Energy Usage Cash Flow Examples'!$B$70)</f>
        <v>319.18375125</v>
      </c>
      <c r="J80" s="182">
        <f>IF($B$70=0,$B$70*J78+$B$71*J77,$B$70*J78+$B$71*J77-'Level 2 Chargers'!O69*'Energy Usage Cash Flow Examples'!$B$70)</f>
        <v>352.20276000000001</v>
      </c>
      <c r="K80" s="158">
        <f>SUM(B82:J82)</f>
        <v>-556400.24212500011</v>
      </c>
    </row>
    <row r="81" spans="1:11" x14ac:dyDescent="0.25">
      <c r="A81" t="s">
        <v>80</v>
      </c>
      <c r="B81" s="189">
        <f t="shared" ref="B81:J81" si="20">B78*365</f>
        <v>109310.565</v>
      </c>
      <c r="C81">
        <f t="shared" si="20"/>
        <v>149181.020625</v>
      </c>
      <c r="D81" s="190">
        <f t="shared" si="20"/>
        <v>189051.47625000001</v>
      </c>
      <c r="E81" s="189">
        <f t="shared" si="20"/>
        <v>228921.93187500004</v>
      </c>
      <c r="F81">
        <f t="shared" si="20"/>
        <v>268792.38750000001</v>
      </c>
      <c r="G81">
        <f t="shared" si="20"/>
        <v>308662.84312500001</v>
      </c>
      <c r="H81">
        <f t="shared" si="20"/>
        <v>348533.29874999996</v>
      </c>
      <c r="I81">
        <f t="shared" si="20"/>
        <v>388403.75437499996</v>
      </c>
      <c r="J81" s="190">
        <f t="shared" si="20"/>
        <v>428274.21</v>
      </c>
      <c r="K81" s="158"/>
    </row>
    <row r="82" spans="1:11" x14ac:dyDescent="0.25">
      <c r="A82" t="s">
        <v>84</v>
      </c>
      <c r="B82" s="191">
        <f t="shared" ref="B82:J82" si="21">B79*365</f>
        <v>-25141.429949999998</v>
      </c>
      <c r="C82" s="158">
        <f t="shared" si="21"/>
        <v>-34311.634743750001</v>
      </c>
      <c r="D82" s="183">
        <f t="shared" si="21"/>
        <v>-43481.839537500004</v>
      </c>
      <c r="E82" s="191">
        <f t="shared" si="21"/>
        <v>-52652.044331250007</v>
      </c>
      <c r="F82" s="158">
        <f t="shared" si="21"/>
        <v>-61822.249125000002</v>
      </c>
      <c r="G82" s="158">
        <f t="shared" si="21"/>
        <v>-70992.45391875002</v>
      </c>
      <c r="H82" s="158">
        <f t="shared" si="21"/>
        <v>-80162.658712499993</v>
      </c>
      <c r="I82" s="158">
        <f t="shared" si="21"/>
        <v>-89332.863506249996</v>
      </c>
      <c r="J82" s="183">
        <f t="shared" si="21"/>
        <v>-98503.068299999999</v>
      </c>
      <c r="K82" s="158">
        <f>SUM(B84:J84)</f>
        <v>-8316</v>
      </c>
    </row>
    <row r="83" spans="1:11" x14ac:dyDescent="0.25">
      <c r="A83" t="s">
        <v>145</v>
      </c>
      <c r="B83" s="191">
        <f>-$B$74*12*4</f>
        <v>-12960</v>
      </c>
      <c r="C83" s="158">
        <f t="shared" ref="C83:J83" si="22">-$B$74*12*4</f>
        <v>-12960</v>
      </c>
      <c r="D83" s="183">
        <f t="shared" si="22"/>
        <v>-12960</v>
      </c>
      <c r="E83" s="191">
        <f t="shared" si="22"/>
        <v>-12960</v>
      </c>
      <c r="F83" s="158">
        <f t="shared" si="22"/>
        <v>-12960</v>
      </c>
      <c r="G83" s="158">
        <f t="shared" si="22"/>
        <v>-12960</v>
      </c>
      <c r="H83" s="158">
        <f t="shared" si="22"/>
        <v>-12960</v>
      </c>
      <c r="I83" s="158">
        <f t="shared" si="22"/>
        <v>-12960</v>
      </c>
      <c r="J83" s="183">
        <f t="shared" si="22"/>
        <v>-12960</v>
      </c>
      <c r="K83" s="158">
        <f>SUM(B85:J85)</f>
        <v>590544.97149375011</v>
      </c>
    </row>
    <row r="84" spans="1:11" x14ac:dyDescent="0.25">
      <c r="A84" t="s">
        <v>146</v>
      </c>
      <c r="B84" s="191">
        <f>-$B$72*$B$73</f>
        <v>-924</v>
      </c>
      <c r="C84" s="158">
        <f t="shared" ref="C84:K84" si="23">-$B$72*$B$73</f>
        <v>-924</v>
      </c>
      <c r="D84" s="183">
        <f t="shared" si="23"/>
        <v>-924</v>
      </c>
      <c r="E84" s="191">
        <f t="shared" si="23"/>
        <v>-924</v>
      </c>
      <c r="F84" s="158">
        <f t="shared" si="23"/>
        <v>-924</v>
      </c>
      <c r="G84" s="158">
        <f t="shared" si="23"/>
        <v>-924</v>
      </c>
      <c r="H84" s="158">
        <f t="shared" si="23"/>
        <v>-924</v>
      </c>
      <c r="I84" s="158">
        <f t="shared" si="23"/>
        <v>-924</v>
      </c>
      <c r="J84" s="183">
        <f t="shared" si="23"/>
        <v>-924</v>
      </c>
      <c r="K84" s="158">
        <f t="shared" si="23"/>
        <v>-924</v>
      </c>
    </row>
    <row r="85" spans="1:11" ht="15.75" thickBot="1" x14ac:dyDescent="0.3">
      <c r="A85" s="162" t="s">
        <v>85</v>
      </c>
      <c r="B85" s="193">
        <f t="shared" ref="B85:J85" si="24">B80*365</f>
        <v>0</v>
      </c>
      <c r="C85" s="163">
        <f t="shared" si="24"/>
        <v>0</v>
      </c>
      <c r="D85" s="194">
        <f t="shared" si="24"/>
        <v>0</v>
      </c>
      <c r="E85" s="193">
        <f t="shared" si="24"/>
        <v>68294.316431250001</v>
      </c>
      <c r="F85" s="163">
        <f t="shared" si="24"/>
        <v>80346.254625000001</v>
      </c>
      <c r="G85" s="163">
        <f t="shared" si="24"/>
        <v>92398.192818750016</v>
      </c>
      <c r="H85" s="163">
        <f t="shared" si="24"/>
        <v>104450.1310125</v>
      </c>
      <c r="I85" s="163">
        <f t="shared" si="24"/>
        <v>116502.06920625</v>
      </c>
      <c r="J85" s="194">
        <f t="shared" si="24"/>
        <v>128554.0074</v>
      </c>
    </row>
    <row r="86" spans="1:11" ht="15.75" thickTop="1" x14ac:dyDescent="0.25">
      <c r="A86" t="s">
        <v>86</v>
      </c>
      <c r="B86" s="192">
        <f t="shared" ref="B86" si="25">SUM(B82:B85)</f>
        <v>-39025.429949999998</v>
      </c>
      <c r="C86" s="166">
        <f t="shared" ref="C86" si="26">SUM(C82:C85)</f>
        <v>-48195.634743750001</v>
      </c>
      <c r="D86" s="182">
        <f t="shared" ref="D86" si="27">SUM(D82:D85)</f>
        <v>-57365.839537500004</v>
      </c>
      <c r="E86" s="192">
        <f t="shared" ref="E86" si="28">SUM(E82:E85)</f>
        <v>1758.2720999999874</v>
      </c>
      <c r="F86" s="166">
        <f t="shared" ref="F86" si="29">SUM(F82:F85)</f>
        <v>4640.0054999999993</v>
      </c>
      <c r="G86" s="166">
        <f t="shared" ref="G86" si="30">SUM(G82:G85)</f>
        <v>7521.7388999999966</v>
      </c>
      <c r="H86" s="166">
        <f t="shared" ref="H86" si="31">SUM(H82:H85)</f>
        <v>10403.472300000009</v>
      </c>
      <c r="I86" s="166">
        <f t="shared" ref="I86" si="32">SUM(I82:I85)</f>
        <v>13285.205700000006</v>
      </c>
      <c r="J86" s="182">
        <f t="shared" ref="J86" si="33">SUM(J82:J85)</f>
        <v>16166.939100000003</v>
      </c>
    </row>
    <row r="89" spans="1:11" x14ac:dyDescent="0.25">
      <c r="C89" s="158"/>
    </row>
    <row r="94" spans="1:11" ht="18.75" x14ac:dyDescent="0.3">
      <c r="A94" s="200" t="s">
        <v>133</v>
      </c>
    </row>
    <row r="95" spans="1:11" x14ac:dyDescent="0.25">
      <c r="A95" s="168" t="s">
        <v>77</v>
      </c>
      <c r="B95" s="206">
        <v>0.23</v>
      </c>
    </row>
    <row r="96" spans="1:11" x14ac:dyDescent="0.25">
      <c r="A96" s="180" t="s">
        <v>108</v>
      </c>
      <c r="B96" s="206">
        <v>0.23</v>
      </c>
    </row>
    <row r="97" spans="1:11" x14ac:dyDescent="0.25">
      <c r="A97" s="179" t="s">
        <v>115</v>
      </c>
      <c r="B97" s="206">
        <v>0.23</v>
      </c>
    </row>
    <row r="98" spans="1:11" x14ac:dyDescent="0.25">
      <c r="A98" s="168" t="s">
        <v>90</v>
      </c>
      <c r="B98" s="201">
        <v>0</v>
      </c>
    </row>
    <row r="99" spans="1:11" x14ac:dyDescent="0.25">
      <c r="A99" s="168" t="s">
        <v>78</v>
      </c>
      <c r="B99" s="206">
        <v>22</v>
      </c>
    </row>
    <row r="100" spans="1:11" x14ac:dyDescent="0.25">
      <c r="A100" s="168" t="s">
        <v>79</v>
      </c>
      <c r="B100" s="168">
        <f>B73</f>
        <v>42</v>
      </c>
    </row>
    <row r="101" spans="1:11" x14ac:dyDescent="0.25">
      <c r="A101" s="168" t="s">
        <v>88</v>
      </c>
      <c r="B101" s="172">
        <v>270</v>
      </c>
      <c r="K101" t="s">
        <v>87</v>
      </c>
    </row>
    <row r="102" spans="1:11" x14ac:dyDescent="0.25">
      <c r="K102">
        <f t="shared" ref="K102" si="34">K76</f>
        <v>0</v>
      </c>
    </row>
    <row r="103" spans="1:11" x14ac:dyDescent="0.25">
      <c r="A103" s="165"/>
      <c r="B103" s="184">
        <v>2024</v>
      </c>
      <c r="C103" s="185">
        <v>2025</v>
      </c>
      <c r="D103" s="186">
        <v>2026</v>
      </c>
      <c r="E103" s="195">
        <v>2027</v>
      </c>
      <c r="F103" s="196">
        <v>2028</v>
      </c>
      <c r="G103" s="196">
        <v>2029</v>
      </c>
      <c r="H103" s="196">
        <v>2030</v>
      </c>
      <c r="I103" s="196">
        <v>2031</v>
      </c>
      <c r="J103" s="197">
        <v>2032</v>
      </c>
    </row>
    <row r="104" spans="1:11" x14ac:dyDescent="0.25">
      <c r="A104" t="s">
        <v>89</v>
      </c>
      <c r="B104" s="187">
        <f>'Level 2 Chargers'!G$57+'Level 3 Chargers'!G$57</f>
        <v>9.1870000000000012</v>
      </c>
      <c r="C104" s="169">
        <f>'Level 2 Chargers'!H$57+'Level 3 Chargers'!H$57</f>
        <v>11.119</v>
      </c>
      <c r="D104" s="188">
        <f>'Level 2 Chargers'!I$57+'Level 3 Chargers'!I$57</f>
        <v>13.051</v>
      </c>
      <c r="E104" s="187">
        <f>'Level 2 Chargers'!J$57+'Level 3 Chargers'!J$57</f>
        <v>14.983000000000002</v>
      </c>
      <c r="F104" s="169">
        <f>'Level 2 Chargers'!K$57+'Level 3 Chargers'!K$57</f>
        <v>16.914999999999999</v>
      </c>
      <c r="G104" s="169">
        <f>'Level 2 Chargers'!L$57+'Level 3 Chargers'!L$57</f>
        <v>18.847000000000001</v>
      </c>
      <c r="H104" s="169">
        <f>'Level 2 Chargers'!M$57+'Level 3 Chargers'!M$57</f>
        <v>20.779</v>
      </c>
      <c r="I104" s="169">
        <f>'Level 2 Chargers'!N$57+'Level 3 Chargers'!N$57</f>
        <v>22.711000000000002</v>
      </c>
      <c r="J104" s="188">
        <f>'Level 2 Chargers'!O$57+'Level 3 Chargers'!O$57</f>
        <v>24.643000000000001</v>
      </c>
    </row>
    <row r="105" spans="1:11" x14ac:dyDescent="0.25">
      <c r="A105" t="s">
        <v>82</v>
      </c>
      <c r="B105" s="189">
        <f t="shared" ref="B105:J105" si="35">B78</f>
        <v>299.48099999999999</v>
      </c>
      <c r="C105">
        <f t="shared" si="35"/>
        <v>408.715125</v>
      </c>
      <c r="D105" s="190">
        <f t="shared" si="35"/>
        <v>517.94925000000001</v>
      </c>
      <c r="E105" s="189">
        <f t="shared" si="35"/>
        <v>627.18337500000007</v>
      </c>
      <c r="F105">
        <f t="shared" si="35"/>
        <v>736.41750000000002</v>
      </c>
      <c r="G105">
        <f t="shared" si="35"/>
        <v>845.65162500000008</v>
      </c>
      <c r="H105">
        <f t="shared" si="35"/>
        <v>954.88574999999992</v>
      </c>
      <c r="I105">
        <f t="shared" si="35"/>
        <v>1064.1198749999999</v>
      </c>
      <c r="J105" s="190">
        <f t="shared" si="35"/>
        <v>1173.354</v>
      </c>
      <c r="K105" s="161">
        <f>SUM(B108:J108)</f>
        <v>2419131.4875000003</v>
      </c>
    </row>
    <row r="106" spans="1:11" x14ac:dyDescent="0.25">
      <c r="A106" t="s">
        <v>81</v>
      </c>
      <c r="B106" s="191">
        <f t="shared" ref="B106:J106" si="36">B105*-$B$39</f>
        <v>-68.880629999999996</v>
      </c>
      <c r="C106" s="158">
        <f t="shared" si="36"/>
        <v>-94.004478750000004</v>
      </c>
      <c r="D106" s="183">
        <f t="shared" si="36"/>
        <v>-119.12832750000001</v>
      </c>
      <c r="E106" s="191">
        <f t="shared" si="36"/>
        <v>-144.25217625000002</v>
      </c>
      <c r="F106" s="158">
        <f t="shared" si="36"/>
        <v>-169.376025</v>
      </c>
      <c r="G106" s="158">
        <f t="shared" si="36"/>
        <v>-194.49987375000003</v>
      </c>
      <c r="H106" s="158">
        <f t="shared" si="36"/>
        <v>-219.62372249999999</v>
      </c>
      <c r="I106" s="158">
        <f t="shared" si="36"/>
        <v>-244.74757124999999</v>
      </c>
      <c r="J106" s="183">
        <f t="shared" si="36"/>
        <v>-269.87142</v>
      </c>
      <c r="K106" s="158">
        <f>SUM(B109:J109)</f>
        <v>-556400.24212500011</v>
      </c>
    </row>
    <row r="107" spans="1:11" x14ac:dyDescent="0.25">
      <c r="A107" s="165" t="s">
        <v>83</v>
      </c>
      <c r="B107" s="192">
        <f>IF($B$96=0,$B$96*B105+$B$98*B104,$B$96*B105+$B$98*B104-'Level 2 Chargers'!G69*'Energy Usage Cash Flow Examples'!$B$96)</f>
        <v>51.927329999999998</v>
      </c>
      <c r="C107" s="166">
        <f>IF($B$96=0,$B$96*C105+$B$98*C104,$B$96*C105+$B$98*C104-'Level 2 Chargers'!H69*'Energy Usage Cash Flow Examples'!$B$96)</f>
        <v>71.400078750000006</v>
      </c>
      <c r="D107" s="182">
        <f>IF($B$96=0,$B$96*D105+$B$98*D104,$B$96*D105+$B$98*D104-'Level 2 Chargers'!I69*'Energy Usage Cash Flow Examples'!$B$96)</f>
        <v>90.872827500000014</v>
      </c>
      <c r="E107" s="192">
        <f>IF($B$97=0,$B$97*E105+$B$98*E104,$B$97*E105+$B$98*E104-'Level 2 Chargers'!J69*'Energy Usage Cash Flow Examples'!$B$97)</f>
        <v>110.34557625000002</v>
      </c>
      <c r="F107" s="166">
        <f>IF($B$97=0,$B$97*F105+$B$98*F104,$B$97*F105+$B$98*F104-'Level 2 Chargers'!K69*'Energy Usage Cash Flow Examples'!$B$97)</f>
        <v>129.81832500000002</v>
      </c>
      <c r="G107" s="166">
        <f>IF($B$97=0,$B$97*G105+$B$98*G104,$B$97*G105+$B$98*G104-'Level 2 Chargers'!L69*'Energy Usage Cash Flow Examples'!$B$97)</f>
        <v>149.29107375000001</v>
      </c>
      <c r="H107" s="166">
        <f>IF($B$97=0,$B$97*H105+$B$98*H104,$B$97*H105+$B$98*H104-'Level 2 Chargers'!M69*'Energy Usage Cash Flow Examples'!$B$97)</f>
        <v>168.76382249999997</v>
      </c>
      <c r="I107" s="166">
        <f>IF($B$97=0,$B$97*I105+$B$98*I104,$B$97*I105+$B$98*I104-'Level 2 Chargers'!N69*'Energy Usage Cash Flow Examples'!$B$97)</f>
        <v>188.23657125</v>
      </c>
      <c r="J107" s="182">
        <f>IF($B$97=0,$B$97*J105+$B$98*J104,$B$97*J105+$B$98*J104-'Level 2 Chargers'!O69*'Energy Usage Cash Flow Examples'!$B$97)</f>
        <v>207.70931999999999</v>
      </c>
      <c r="K107" s="158"/>
    </row>
    <row r="108" spans="1:11" x14ac:dyDescent="0.25">
      <c r="A108" t="s">
        <v>80</v>
      </c>
      <c r="B108" s="189">
        <f>B105*365</f>
        <v>109310.565</v>
      </c>
      <c r="C108">
        <f t="shared" ref="C108:E108" si="37">C105*365</f>
        <v>149181.020625</v>
      </c>
      <c r="D108" s="190">
        <f t="shared" si="37"/>
        <v>189051.47625000001</v>
      </c>
      <c r="E108" s="189">
        <f t="shared" si="37"/>
        <v>228921.93187500004</v>
      </c>
      <c r="F108">
        <f t="shared" ref="F108:J109" si="38">F105*365</f>
        <v>268792.38750000001</v>
      </c>
      <c r="G108">
        <f t="shared" si="38"/>
        <v>308662.84312500001</v>
      </c>
      <c r="H108">
        <f t="shared" si="38"/>
        <v>348533.29874999996</v>
      </c>
      <c r="I108">
        <f t="shared" si="38"/>
        <v>388403.75437499996</v>
      </c>
      <c r="J108" s="190">
        <f t="shared" si="38"/>
        <v>428274.21</v>
      </c>
      <c r="K108" s="158">
        <f>SUM(B111:J111)</f>
        <v>-8316</v>
      </c>
    </row>
    <row r="109" spans="1:11" x14ac:dyDescent="0.25">
      <c r="A109" t="s">
        <v>84</v>
      </c>
      <c r="B109" s="191">
        <f>B106*365</f>
        <v>-25141.429949999998</v>
      </c>
      <c r="C109" s="158">
        <f>C106*365</f>
        <v>-34311.634743750001</v>
      </c>
      <c r="D109" s="183">
        <f>D106*365</f>
        <v>-43481.839537500004</v>
      </c>
      <c r="E109" s="191">
        <f>E106*365</f>
        <v>-52652.044331250007</v>
      </c>
      <c r="F109" s="158">
        <f t="shared" si="38"/>
        <v>-61822.249125000002</v>
      </c>
      <c r="G109" s="158">
        <f t="shared" si="38"/>
        <v>-70992.45391875002</v>
      </c>
      <c r="H109" s="158">
        <f t="shared" si="38"/>
        <v>-80162.658712499993</v>
      </c>
      <c r="I109" s="158">
        <f t="shared" si="38"/>
        <v>-89332.863506249996</v>
      </c>
      <c r="J109" s="183">
        <f t="shared" si="38"/>
        <v>-98503.068299999999</v>
      </c>
      <c r="K109" s="158">
        <f>SUM(B112:J112)</f>
        <v>426453.19762499997</v>
      </c>
    </row>
    <row r="110" spans="1:11" x14ac:dyDescent="0.25">
      <c r="A110" t="s">
        <v>145</v>
      </c>
      <c r="B110" s="191">
        <f>-$B$101*12*4</f>
        <v>-12960</v>
      </c>
      <c r="C110" s="158">
        <f t="shared" ref="C110:J110" si="39">-$B$101*12*4</f>
        <v>-12960</v>
      </c>
      <c r="D110" s="183">
        <f t="shared" si="39"/>
        <v>-12960</v>
      </c>
      <c r="E110" s="191">
        <f t="shared" si="39"/>
        <v>-12960</v>
      </c>
      <c r="F110" s="158">
        <f t="shared" si="39"/>
        <v>-12960</v>
      </c>
      <c r="G110" s="158">
        <f t="shared" si="39"/>
        <v>-12960</v>
      </c>
      <c r="H110" s="158">
        <f t="shared" si="39"/>
        <v>-12960</v>
      </c>
      <c r="I110" s="158">
        <f t="shared" si="39"/>
        <v>-12960</v>
      </c>
      <c r="J110" s="183">
        <f t="shared" si="39"/>
        <v>-12960</v>
      </c>
      <c r="K110" s="158">
        <f>SUM(B113:J113)</f>
        <v>-254903.04450000002</v>
      </c>
    </row>
    <row r="111" spans="1:11" x14ac:dyDescent="0.25">
      <c r="A111" t="s">
        <v>146</v>
      </c>
      <c r="B111" s="191">
        <f>-$B$99*$B$100</f>
        <v>-924</v>
      </c>
      <c r="C111" s="158">
        <f t="shared" ref="C111:J111" si="40">-$B$99*$B$100</f>
        <v>-924</v>
      </c>
      <c r="D111" s="183">
        <f t="shared" si="40"/>
        <v>-924</v>
      </c>
      <c r="E111" s="191">
        <f t="shared" si="40"/>
        <v>-924</v>
      </c>
      <c r="F111" s="158">
        <f t="shared" si="40"/>
        <v>-924</v>
      </c>
      <c r="G111" s="158">
        <f t="shared" si="40"/>
        <v>-924</v>
      </c>
      <c r="H111" s="158">
        <f t="shared" si="40"/>
        <v>-924</v>
      </c>
      <c r="I111" s="158">
        <f t="shared" si="40"/>
        <v>-924</v>
      </c>
      <c r="J111" s="183">
        <f t="shared" si="40"/>
        <v>-924</v>
      </c>
    </row>
    <row r="112" spans="1:11" ht="15.75" thickBot="1" x14ac:dyDescent="0.3">
      <c r="A112" s="162" t="s">
        <v>85</v>
      </c>
      <c r="B112" s="193">
        <f t="shared" ref="B112:J112" si="41">B107*365</f>
        <v>18953.475449999998</v>
      </c>
      <c r="C112" s="163">
        <f t="shared" si="41"/>
        <v>26061.028743750001</v>
      </c>
      <c r="D112" s="194">
        <f t="shared" si="41"/>
        <v>33168.582037500004</v>
      </c>
      <c r="E112" s="193">
        <f t="shared" si="41"/>
        <v>40276.135331250007</v>
      </c>
      <c r="F112" s="163">
        <f t="shared" si="41"/>
        <v>47383.688625000003</v>
      </c>
      <c r="G112" s="163">
        <f t="shared" si="41"/>
        <v>54491.241918750005</v>
      </c>
      <c r="H112" s="163">
        <f t="shared" si="41"/>
        <v>61598.795212499994</v>
      </c>
      <c r="I112" s="163">
        <f t="shared" si="41"/>
        <v>68706.348506249997</v>
      </c>
      <c r="J112" s="194">
        <f t="shared" si="41"/>
        <v>75813.901799999992</v>
      </c>
    </row>
    <row r="113" spans="1:10" ht="15.75" thickTop="1" x14ac:dyDescent="0.25">
      <c r="A113" t="s">
        <v>86</v>
      </c>
      <c r="B113" s="192">
        <f t="shared" ref="B113:J113" si="42">SUM(B109:B112)</f>
        <v>-20071.9545</v>
      </c>
      <c r="C113" s="166">
        <f t="shared" si="42"/>
        <v>-22134.606</v>
      </c>
      <c r="D113" s="182">
        <f t="shared" si="42"/>
        <v>-24197.2575</v>
      </c>
      <c r="E113" s="192">
        <f t="shared" si="42"/>
        <v>-26259.909000000007</v>
      </c>
      <c r="F113" s="166">
        <f t="shared" si="42"/>
        <v>-28322.5605</v>
      </c>
      <c r="G113" s="166">
        <f t="shared" si="42"/>
        <v>-30385.212000000014</v>
      </c>
      <c r="H113" s="166">
        <f t="shared" si="42"/>
        <v>-32447.863499999999</v>
      </c>
      <c r="I113" s="166">
        <f t="shared" si="42"/>
        <v>-34510.514999999999</v>
      </c>
      <c r="J113" s="182">
        <f t="shared" si="42"/>
        <v>-36573.166500000007</v>
      </c>
    </row>
  </sheetData>
  <conditionalFormatting sqref="B32:J34">
    <cfRule type="cellIs" dxfId="9" priority="6" operator="greaterThan">
      <formula>0</formula>
    </cfRule>
    <cfRule type="cellIs" dxfId="8" priority="8" operator="lessThan">
      <formula>0</formula>
    </cfRule>
  </conditionalFormatting>
  <conditionalFormatting sqref="B57:J57">
    <cfRule type="cellIs" dxfId="7" priority="5" operator="greaterThan">
      <formula>0</formula>
    </cfRule>
    <cfRule type="cellIs" dxfId="6" priority="7" operator="lessThan">
      <formula>0</formula>
    </cfRule>
  </conditionalFormatting>
  <conditionalFormatting sqref="B86:J86">
    <cfRule type="cellIs" dxfId="5" priority="3" operator="greaterThan">
      <formula>0</formula>
    </cfRule>
    <cfRule type="cellIs" dxfId="4" priority="4" operator="lessThan">
      <formula>0</formula>
    </cfRule>
  </conditionalFormatting>
  <conditionalFormatting sqref="B113:J113">
    <cfRule type="cellIs" dxfId="3" priority="1" operator="greaterThan">
      <formula>0</formula>
    </cfRule>
    <cfRule type="cellIs" dxfId="2" priority="2" operator="lessThan">
      <formula>0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1A6A5-3E60-4A5B-BE21-33E401297912}">
  <dimension ref="A2:P10"/>
  <sheetViews>
    <sheetView workbookViewId="0">
      <selection activeCell="B4" sqref="B4"/>
    </sheetView>
  </sheetViews>
  <sheetFormatPr defaultRowHeight="15" x14ac:dyDescent="0.25"/>
  <cols>
    <col min="1" max="1" width="34.28515625" bestFit="1" customWidth="1"/>
    <col min="2" max="2" width="15" bestFit="1" customWidth="1"/>
    <col min="5" max="5" width="13.42578125" bestFit="1" customWidth="1"/>
    <col min="15" max="15" width="9.85546875" hidden="1" customWidth="1"/>
    <col min="16" max="16" width="13.42578125" hidden="1" customWidth="1"/>
  </cols>
  <sheetData>
    <row r="2" spans="1:16" x14ac:dyDescent="0.25">
      <c r="B2" s="173" t="s">
        <v>96</v>
      </c>
      <c r="O2" t="s">
        <v>97</v>
      </c>
      <c r="P2" s="158">
        <f>SUM('Energy Usage Cash Flow Examples'!B32:D32)</f>
        <v>-144586.90423125</v>
      </c>
    </row>
    <row r="3" spans="1:16" x14ac:dyDescent="0.25">
      <c r="A3" s="168" t="s">
        <v>92</v>
      </c>
      <c r="B3" s="170">
        <v>-291878</v>
      </c>
      <c r="O3" t="s">
        <v>98</v>
      </c>
      <c r="P3" s="158">
        <f>SUM('Energy Usage Cash Flow Examples'!B57:D57)</f>
        <v>-110594.25804375001</v>
      </c>
    </row>
    <row r="4" spans="1:16" x14ac:dyDescent="0.25">
      <c r="A4" s="168" t="s">
        <v>93</v>
      </c>
      <c r="B4" s="170">
        <f>-860565.2+ABS(B3+B5)</f>
        <v>-526787.19999999995</v>
      </c>
      <c r="O4" t="s">
        <v>99</v>
      </c>
      <c r="P4" s="158">
        <f>SUM('Energy Usage Cash Flow Examples'!B86:D86)</f>
        <v>-144586.90423125</v>
      </c>
    </row>
    <row r="5" spans="1:16" x14ac:dyDescent="0.25">
      <c r="A5" s="168" t="s">
        <v>140</v>
      </c>
      <c r="B5" s="170">
        <v>-41900</v>
      </c>
      <c r="E5" s="158">
        <f>SUM(B3:B5)</f>
        <v>-860565.2</v>
      </c>
      <c r="P5" s="158"/>
    </row>
    <row r="6" spans="1:16" x14ac:dyDescent="0.25">
      <c r="A6" s="171" t="s">
        <v>97</v>
      </c>
      <c r="B6" s="170">
        <f>IF(A6="Scenario 1", P2, IF(A6="Scenario 2", P3, IF(A6="Scenario 3",P4,IF(A6="Scenario 4", P6, 0))))</f>
        <v>-144586.90423125</v>
      </c>
      <c r="O6" t="s">
        <v>100</v>
      </c>
      <c r="P6" s="158">
        <f>SUM('Energy Usage Cash Flow Examples'!B113:D113)</f>
        <v>-66403.817999999999</v>
      </c>
    </row>
    <row r="7" spans="1:16" x14ac:dyDescent="0.25">
      <c r="A7" s="168" t="s">
        <v>94</v>
      </c>
      <c r="B7" s="170">
        <f>40000*4</f>
        <v>160000</v>
      </c>
    </row>
    <row r="8" spans="1:16" x14ac:dyDescent="0.25">
      <c r="A8" s="168" t="s">
        <v>95</v>
      </c>
      <c r="B8" s="170">
        <f>250000*2</f>
        <v>500000</v>
      </c>
      <c r="C8" s="178" t="s">
        <v>101</v>
      </c>
    </row>
    <row r="9" spans="1:16" ht="15.75" thickBot="1" x14ac:dyDescent="0.3">
      <c r="A9" s="176" t="s">
        <v>91</v>
      </c>
      <c r="B9" s="177">
        <v>559367.38</v>
      </c>
    </row>
    <row r="10" spans="1:16" ht="15.75" thickTop="1" x14ac:dyDescent="0.25">
      <c r="A10" s="174" t="s">
        <v>102</v>
      </c>
      <c r="B10" s="175">
        <f>SUM(B3:B7,B9)</f>
        <v>-285784.72423125</v>
      </c>
    </row>
  </sheetData>
  <dataValidations count="1">
    <dataValidation type="list" allowBlank="1" showInputMessage="1" showErrorMessage="1" sqref="A6" xr:uid="{89AD97D9-AAA6-428F-A6BB-79CDFECA1782}">
      <formula1>$O$2:$O$6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B9750-1C71-4FC5-8025-8FF01A676E01}">
  <dimension ref="A1:AI104"/>
  <sheetViews>
    <sheetView topLeftCell="I55" zoomScale="85" zoomScaleNormal="85" workbookViewId="0">
      <selection activeCell="I73" sqref="I73"/>
    </sheetView>
  </sheetViews>
  <sheetFormatPr defaultRowHeight="15" x14ac:dyDescent="0.25"/>
  <cols>
    <col min="1" max="1" width="63.42578125" customWidth="1"/>
    <col min="4" max="4" width="12.85546875" customWidth="1"/>
    <col min="6" max="6" width="9.5703125" bestFit="1" customWidth="1"/>
    <col min="7" max="7" width="10.42578125" bestFit="1" customWidth="1"/>
    <col min="8" max="12" width="11.28515625" bestFit="1" customWidth="1"/>
    <col min="13" max="14" width="12.5703125" bestFit="1" customWidth="1"/>
    <col min="15" max="15" width="9.85546875" bestFit="1" customWidth="1"/>
    <col min="16" max="25" width="10.85546875" bestFit="1" customWidth="1"/>
    <col min="26" max="31" width="9.85546875" bestFit="1" customWidth="1"/>
  </cols>
  <sheetData>
    <row r="1" spans="1:15" s="1" customFormat="1" ht="23.25" customHeight="1" thickBo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1" customFormat="1" ht="23.25" customHeight="1" x14ac:dyDescent="0.2">
      <c r="A2" s="254" t="s">
        <v>72</v>
      </c>
      <c r="B2" s="255"/>
      <c r="C2" s="255"/>
      <c r="D2" s="255"/>
      <c r="E2" s="255"/>
      <c r="F2" s="255"/>
      <c r="G2" s="19"/>
      <c r="H2" s="19"/>
      <c r="I2" s="19"/>
      <c r="J2" s="19"/>
      <c r="K2" s="19"/>
      <c r="L2" s="19"/>
      <c r="M2" s="19"/>
      <c r="N2" s="19"/>
      <c r="O2" s="34"/>
    </row>
    <row r="3" spans="1:15" s="1" customFormat="1" ht="23.25" customHeight="1" x14ac:dyDescent="0.2">
      <c r="A3" s="256"/>
      <c r="B3" s="257"/>
      <c r="C3" s="257"/>
      <c r="D3" s="257"/>
      <c r="E3" s="257"/>
      <c r="F3" s="257"/>
      <c r="O3" s="49"/>
    </row>
    <row r="4" spans="1:15" s="1" customFormat="1" ht="23.25" customHeight="1" x14ac:dyDescent="0.2">
      <c r="A4" s="256"/>
      <c r="B4" s="257"/>
      <c r="C4" s="257"/>
      <c r="D4" s="257"/>
      <c r="E4" s="257"/>
      <c r="F4" s="257"/>
      <c r="O4" s="49"/>
    </row>
    <row r="5" spans="1:15" s="1" customFormat="1" ht="23.25" customHeight="1" x14ac:dyDescent="0.2">
      <c r="A5" s="256"/>
      <c r="B5" s="257"/>
      <c r="C5" s="257"/>
      <c r="D5" s="257"/>
      <c r="E5" s="257"/>
      <c r="F5" s="257"/>
      <c r="O5" s="49"/>
    </row>
    <row r="6" spans="1:15" s="1" customFormat="1" ht="23.25" customHeight="1" x14ac:dyDescent="0.2">
      <c r="A6" s="256"/>
      <c r="B6" s="257"/>
      <c r="C6" s="257"/>
      <c r="D6" s="257"/>
      <c r="E6" s="257"/>
      <c r="F6" s="257"/>
      <c r="O6" s="49"/>
    </row>
    <row r="7" spans="1:15" s="1" customFormat="1" ht="23.25" customHeight="1" x14ac:dyDescent="0.2">
      <c r="A7" s="256"/>
      <c r="B7" s="257"/>
      <c r="C7" s="257"/>
      <c r="D7" s="257"/>
      <c r="E7" s="257"/>
      <c r="F7" s="257"/>
      <c r="O7" s="49"/>
    </row>
    <row r="8" spans="1:15" s="1" customFormat="1" ht="23.25" customHeight="1" x14ac:dyDescent="0.2">
      <c r="A8" s="256"/>
      <c r="B8" s="257"/>
      <c r="C8" s="257"/>
      <c r="D8" s="257"/>
      <c r="E8" s="257"/>
      <c r="F8" s="257"/>
      <c r="O8" s="49"/>
    </row>
    <row r="9" spans="1:15" s="1" customFormat="1" ht="23.25" customHeight="1" x14ac:dyDescent="0.2">
      <c r="A9" s="256"/>
      <c r="B9" s="257"/>
      <c r="C9" s="257"/>
      <c r="D9" s="257"/>
      <c r="E9" s="257"/>
      <c r="F9" s="257"/>
      <c r="O9" s="49"/>
    </row>
    <row r="10" spans="1:15" s="1" customFormat="1" ht="23.25" customHeight="1" x14ac:dyDescent="0.2">
      <c r="A10" s="256"/>
      <c r="B10" s="257"/>
      <c r="C10" s="257"/>
      <c r="D10" s="257"/>
      <c r="E10" s="257"/>
      <c r="F10" s="257"/>
      <c r="O10" s="49"/>
    </row>
    <row r="11" spans="1:15" s="1" customFormat="1" ht="23.25" customHeight="1" x14ac:dyDescent="0.2">
      <c r="A11" s="256"/>
      <c r="B11" s="257"/>
      <c r="C11" s="257"/>
      <c r="D11" s="257"/>
      <c r="E11" s="257"/>
      <c r="F11" s="257"/>
      <c r="O11" s="49"/>
    </row>
    <row r="12" spans="1:15" s="1" customFormat="1" ht="23.25" customHeight="1" x14ac:dyDescent="0.2">
      <c r="A12" s="256"/>
      <c r="B12" s="257"/>
      <c r="C12" s="257"/>
      <c r="D12" s="257"/>
      <c r="E12" s="257"/>
      <c r="F12" s="257"/>
      <c r="O12" s="49"/>
    </row>
    <row r="13" spans="1:15" s="1" customFormat="1" ht="23.25" customHeight="1" x14ac:dyDescent="0.2">
      <c r="A13" s="256"/>
      <c r="B13" s="257"/>
      <c r="C13" s="257"/>
      <c r="D13" s="257"/>
      <c r="E13" s="257"/>
      <c r="F13" s="257"/>
      <c r="O13" s="49"/>
    </row>
    <row r="14" spans="1:15" s="1" customFormat="1" ht="23.25" customHeight="1" x14ac:dyDescent="0.2">
      <c r="A14" s="256"/>
      <c r="B14" s="257"/>
      <c r="C14" s="257"/>
      <c r="D14" s="257"/>
      <c r="E14" s="257"/>
      <c r="F14" s="257"/>
      <c r="O14" s="49"/>
    </row>
    <row r="15" spans="1:15" s="1" customFormat="1" ht="23.25" customHeight="1" x14ac:dyDescent="0.2">
      <c r="A15" s="256"/>
      <c r="B15" s="257"/>
      <c r="C15" s="257"/>
      <c r="D15" s="257"/>
      <c r="E15" s="257"/>
      <c r="F15" s="257"/>
      <c r="O15" s="49"/>
    </row>
    <row r="16" spans="1:15" s="1" customFormat="1" ht="23.25" customHeight="1" x14ac:dyDescent="0.2">
      <c r="A16" s="256"/>
      <c r="B16" s="257"/>
      <c r="C16" s="257"/>
      <c r="D16" s="257"/>
      <c r="E16" s="257"/>
      <c r="F16" s="257"/>
      <c r="O16" s="49"/>
    </row>
    <row r="17" spans="1:15" s="1" customFormat="1" ht="23.25" customHeight="1" x14ac:dyDescent="0.2">
      <c r="A17" s="256"/>
      <c r="B17" s="257"/>
      <c r="C17" s="257"/>
      <c r="D17" s="257"/>
      <c r="E17" s="257"/>
      <c r="F17" s="257"/>
      <c r="O17" s="49"/>
    </row>
    <row r="18" spans="1:15" s="1" customFormat="1" ht="23.25" hidden="1" customHeight="1" x14ac:dyDescent="0.2">
      <c r="A18" s="46" t="s">
        <v>1</v>
      </c>
      <c r="E18" s="258" t="s">
        <v>2</v>
      </c>
      <c r="F18" s="259"/>
      <c r="O18" s="49"/>
    </row>
    <row r="19" spans="1:15" s="1" customFormat="1" ht="23.25" hidden="1" customHeight="1" x14ac:dyDescent="0.2">
      <c r="A19" s="46" t="s">
        <v>51</v>
      </c>
      <c r="E19" s="260">
        <v>1</v>
      </c>
      <c r="F19" s="261"/>
      <c r="O19" s="49"/>
    </row>
    <row r="20" spans="1:15" s="1" customFormat="1" ht="23.25" hidden="1" customHeight="1" x14ac:dyDescent="0.2">
      <c r="A20" s="46"/>
      <c r="O20" s="49"/>
    </row>
    <row r="21" spans="1:15" s="1" customFormat="1" ht="23.25" hidden="1" customHeight="1" x14ac:dyDescent="0.2">
      <c r="A21" s="46" t="s">
        <v>3</v>
      </c>
      <c r="O21" s="49"/>
    </row>
    <row r="22" spans="1:15" s="1" customFormat="1" ht="23.25" hidden="1" customHeight="1" x14ac:dyDescent="0.2">
      <c r="A22" s="52" t="s">
        <v>4</v>
      </c>
      <c r="O22" s="49"/>
    </row>
    <row r="23" spans="1:15" s="1" customFormat="1" ht="23.25" hidden="1" customHeight="1" x14ac:dyDescent="0.2">
      <c r="A23" s="25" t="s">
        <v>5</v>
      </c>
      <c r="E23" s="2">
        <v>550</v>
      </c>
      <c r="O23" s="49"/>
    </row>
    <row r="24" spans="1:15" s="1" customFormat="1" ht="23.25" hidden="1" customHeight="1" x14ac:dyDescent="0.2">
      <c r="A24" s="53" t="s">
        <v>6</v>
      </c>
      <c r="E24" s="67"/>
      <c r="O24" s="49"/>
    </row>
    <row r="25" spans="1:15" s="1" customFormat="1" ht="23.25" hidden="1" customHeight="1" x14ac:dyDescent="0.2">
      <c r="A25" s="54" t="s">
        <v>7</v>
      </c>
      <c r="E25" s="2">
        <v>2500</v>
      </c>
      <c r="O25" s="49"/>
    </row>
    <row r="26" spans="1:15" s="1" customFormat="1" ht="23.25" hidden="1" customHeight="1" x14ac:dyDescent="0.2">
      <c r="A26" s="54" t="s">
        <v>8</v>
      </c>
      <c r="E26" s="2">
        <v>60000</v>
      </c>
      <c r="O26" s="49"/>
    </row>
    <row r="27" spans="1:15" s="1" customFormat="1" ht="23.25" hidden="1" customHeight="1" x14ac:dyDescent="0.2">
      <c r="A27" s="54" t="s">
        <v>15</v>
      </c>
      <c r="E27" s="2">
        <v>5000</v>
      </c>
      <c r="O27" s="49"/>
    </row>
    <row r="28" spans="1:15" s="1" customFormat="1" ht="23.25" customHeight="1" x14ac:dyDescent="0.2">
      <c r="A28" s="35"/>
      <c r="O28" s="49"/>
    </row>
    <row r="29" spans="1:15" s="1" customFormat="1" ht="23.25" customHeight="1" x14ac:dyDescent="0.2">
      <c r="A29" s="35" t="s">
        <v>9</v>
      </c>
      <c r="E29" s="3">
        <v>38</v>
      </c>
      <c r="O29" s="49"/>
    </row>
    <row r="30" spans="1:15" s="1" customFormat="1" ht="23.25" customHeight="1" x14ac:dyDescent="0.2">
      <c r="A30" s="35"/>
      <c r="O30" s="49"/>
    </row>
    <row r="31" spans="1:15" s="1" customFormat="1" ht="23.25" hidden="1" customHeight="1" x14ac:dyDescent="0.2">
      <c r="A31" s="46" t="s">
        <v>22</v>
      </c>
      <c r="B31" s="65"/>
      <c r="C31" s="65"/>
      <c r="D31" s="65"/>
      <c r="E31" s="68">
        <f>((E23+E25)*E29)+((E26+E27))</f>
        <v>180900</v>
      </c>
      <c r="O31" s="49"/>
    </row>
    <row r="32" spans="1:15" s="1" customFormat="1" ht="23.25" customHeight="1" x14ac:dyDescent="0.2">
      <c r="A32" s="46"/>
      <c r="B32" s="65"/>
      <c r="C32" s="65"/>
      <c r="D32" s="65"/>
      <c r="E32" s="68"/>
      <c r="O32" s="49"/>
    </row>
    <row r="33" spans="1:35" s="1" customFormat="1" ht="23.25" customHeight="1" thickBot="1" x14ac:dyDescent="0.25">
      <c r="A33" s="39"/>
      <c r="B33" s="28"/>
      <c r="C33" s="28"/>
      <c r="D33" s="28"/>
      <c r="E33" s="55"/>
      <c r="F33" s="31"/>
      <c r="G33" s="31"/>
      <c r="H33" s="31"/>
      <c r="I33" s="31"/>
      <c r="J33" s="31"/>
      <c r="K33" s="31"/>
      <c r="L33" s="31"/>
      <c r="M33" s="31"/>
      <c r="N33" s="31"/>
      <c r="O33" s="40"/>
    </row>
    <row r="34" spans="1:35" s="1" customFormat="1" ht="23.25" customHeight="1" x14ac:dyDescent="0.25">
      <c r="A34" s="86" t="s">
        <v>32</v>
      </c>
      <c r="B34" s="19"/>
      <c r="C34" s="19"/>
      <c r="D34" s="19"/>
      <c r="E34" s="20"/>
      <c r="F34" s="21">
        <v>2023</v>
      </c>
      <c r="G34" s="21">
        <f>F34+1</f>
        <v>2024</v>
      </c>
      <c r="H34" s="21">
        <f t="shared" ref="H34:O34" si="0">G34+1</f>
        <v>2025</v>
      </c>
      <c r="I34" s="21">
        <f t="shared" si="0"/>
        <v>2026</v>
      </c>
      <c r="J34" s="21">
        <f t="shared" si="0"/>
        <v>2027</v>
      </c>
      <c r="K34" s="21">
        <f t="shared" si="0"/>
        <v>2028</v>
      </c>
      <c r="L34" s="21">
        <f t="shared" si="0"/>
        <v>2029</v>
      </c>
      <c r="M34" s="21">
        <f t="shared" si="0"/>
        <v>2030</v>
      </c>
      <c r="N34" s="21">
        <f t="shared" si="0"/>
        <v>2031</v>
      </c>
      <c r="O34" s="22">
        <f t="shared" si="0"/>
        <v>2032</v>
      </c>
      <c r="P34" s="22">
        <f t="shared" ref="P34" si="1">O34+1</f>
        <v>2033</v>
      </c>
      <c r="Q34" s="22">
        <f t="shared" ref="Q34" si="2">P34+1</f>
        <v>2034</v>
      </c>
      <c r="R34" s="22">
        <f t="shared" ref="R34" si="3">Q34+1</f>
        <v>2035</v>
      </c>
      <c r="S34" s="22">
        <f t="shared" ref="S34" si="4">R34+1</f>
        <v>2036</v>
      </c>
      <c r="T34" s="22">
        <f t="shared" ref="T34" si="5">S34+1</f>
        <v>2037</v>
      </c>
      <c r="U34" s="22">
        <f t="shared" ref="U34" si="6">T34+1</f>
        <v>2038</v>
      </c>
      <c r="V34" s="22">
        <f t="shared" ref="V34" si="7">U34+1</f>
        <v>2039</v>
      </c>
      <c r="W34" s="22">
        <f t="shared" ref="W34" si="8">V34+1</f>
        <v>2040</v>
      </c>
      <c r="X34" s="22">
        <f t="shared" ref="X34" si="9">W34+1</f>
        <v>2041</v>
      </c>
      <c r="Y34" s="22">
        <f t="shared" ref="Y34" si="10">X34+1</f>
        <v>2042</v>
      </c>
      <c r="Z34" s="22">
        <f t="shared" ref="Z34" si="11">Y34+1</f>
        <v>2043</v>
      </c>
      <c r="AA34" s="22">
        <f t="shared" ref="AA34" si="12">Z34+1</f>
        <v>2044</v>
      </c>
      <c r="AB34" s="22">
        <f t="shared" ref="AB34" si="13">AA34+1</f>
        <v>2045</v>
      </c>
      <c r="AC34" s="22">
        <f t="shared" ref="AC34" si="14">AB34+1</f>
        <v>2046</v>
      </c>
      <c r="AD34" s="22">
        <f t="shared" ref="AD34" si="15">AC34+1</f>
        <v>2047</v>
      </c>
      <c r="AE34" s="22">
        <f t="shared" ref="AE34" si="16">AD34+1</f>
        <v>2048</v>
      </c>
      <c r="AF34" s="22">
        <f t="shared" ref="AF34" si="17">AE34+1</f>
        <v>2049</v>
      </c>
      <c r="AG34" s="22">
        <f t="shared" ref="AG34" si="18">AF34+1</f>
        <v>2050</v>
      </c>
      <c r="AH34" s="22">
        <f t="shared" ref="AH34" si="19">AG34+1</f>
        <v>2051</v>
      </c>
      <c r="AI34" s="22">
        <f t="shared" ref="AI34" si="20">AH34+1</f>
        <v>2052</v>
      </c>
    </row>
    <row r="35" spans="1:35" s="1" customFormat="1" ht="23.25" customHeight="1" thickBot="1" x14ac:dyDescent="0.25">
      <c r="A35" s="35"/>
      <c r="E35" s="66" t="s">
        <v>47</v>
      </c>
      <c r="F35" s="73"/>
      <c r="G35" s="73"/>
      <c r="H35" s="73"/>
      <c r="I35" s="73"/>
      <c r="J35" s="73"/>
      <c r="K35" s="73"/>
      <c r="L35" s="73"/>
      <c r="M35" s="73"/>
      <c r="N35" s="73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</row>
    <row r="36" spans="1:35" s="1" customFormat="1" ht="23.25" customHeight="1" thickBot="1" x14ac:dyDescent="0.3">
      <c r="A36" s="105" t="s">
        <v>33</v>
      </c>
      <c r="B36" s="106"/>
      <c r="C36" s="106"/>
      <c r="D36" s="106"/>
      <c r="E36" s="156">
        <v>600</v>
      </c>
      <c r="F36" s="10">
        <f t="shared" ref="F36:O36" si="21">F39+F42+F45</f>
        <v>0</v>
      </c>
      <c r="G36" s="10">
        <f t="shared" si="21"/>
        <v>420</v>
      </c>
      <c r="H36" s="10">
        <f t="shared" si="21"/>
        <v>420</v>
      </c>
      <c r="I36" s="10">
        <f t="shared" si="21"/>
        <v>420</v>
      </c>
      <c r="J36" s="10">
        <f t="shared" si="21"/>
        <v>420</v>
      </c>
      <c r="K36" s="10">
        <f t="shared" si="21"/>
        <v>420</v>
      </c>
      <c r="L36" s="10">
        <f t="shared" si="21"/>
        <v>420</v>
      </c>
      <c r="M36" s="10">
        <f t="shared" si="21"/>
        <v>420</v>
      </c>
      <c r="N36" s="10">
        <f t="shared" si="21"/>
        <v>420</v>
      </c>
      <c r="O36" s="11">
        <f t="shared" si="21"/>
        <v>420</v>
      </c>
      <c r="P36" s="11">
        <f t="shared" ref="P36:W36" si="22">P39+P42+P45</f>
        <v>420</v>
      </c>
      <c r="Q36" s="11">
        <f t="shared" si="22"/>
        <v>420</v>
      </c>
      <c r="R36" s="11">
        <f t="shared" si="22"/>
        <v>420</v>
      </c>
      <c r="S36" s="11">
        <f t="shared" si="22"/>
        <v>420</v>
      </c>
      <c r="T36" s="11">
        <f t="shared" si="22"/>
        <v>420</v>
      </c>
      <c r="U36" s="11">
        <f t="shared" si="22"/>
        <v>420</v>
      </c>
      <c r="V36" s="11">
        <f t="shared" si="22"/>
        <v>420</v>
      </c>
      <c r="W36" s="11">
        <f t="shared" si="22"/>
        <v>420</v>
      </c>
      <c r="X36" s="11">
        <f t="shared" ref="X36:Y36" si="23">X39+X42+X45</f>
        <v>420</v>
      </c>
      <c r="Y36" s="11">
        <f t="shared" si="23"/>
        <v>420</v>
      </c>
      <c r="Z36" s="11">
        <f t="shared" ref="Z36:AA36" si="24">Z39+Z42+Z45</f>
        <v>420</v>
      </c>
      <c r="AA36" s="11">
        <f t="shared" si="24"/>
        <v>420</v>
      </c>
      <c r="AB36" s="11">
        <f t="shared" ref="AB36:AI36" si="25">AB39+AB42+AB45</f>
        <v>420</v>
      </c>
      <c r="AC36" s="11">
        <f t="shared" si="25"/>
        <v>420</v>
      </c>
      <c r="AD36" s="11">
        <f t="shared" si="25"/>
        <v>420</v>
      </c>
      <c r="AE36" s="11">
        <f t="shared" si="25"/>
        <v>420</v>
      </c>
      <c r="AF36" s="11">
        <f t="shared" si="25"/>
        <v>420</v>
      </c>
      <c r="AG36" s="11">
        <f t="shared" si="25"/>
        <v>420</v>
      </c>
      <c r="AH36" s="11">
        <f t="shared" si="25"/>
        <v>420</v>
      </c>
      <c r="AI36" s="11">
        <f t="shared" si="25"/>
        <v>420</v>
      </c>
    </row>
    <row r="37" spans="1:35" s="1" customFormat="1" ht="23.25" customHeight="1" thickBot="1" x14ac:dyDescent="0.25">
      <c r="A37" s="35"/>
      <c r="E37" s="65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</row>
    <row r="38" spans="1:35" s="1" customFormat="1" ht="23.25" customHeight="1" x14ac:dyDescent="0.25">
      <c r="A38" s="89" t="s">
        <v>62</v>
      </c>
      <c r="B38" s="90"/>
      <c r="C38" s="90"/>
      <c r="D38" s="90"/>
      <c r="E38" s="90"/>
      <c r="F38" s="101">
        <v>0</v>
      </c>
      <c r="G38" s="101">
        <v>0.7</v>
      </c>
      <c r="H38" s="101">
        <v>0.7</v>
      </c>
      <c r="I38" s="101">
        <v>0.7</v>
      </c>
      <c r="J38" s="101">
        <v>0.7</v>
      </c>
      <c r="K38" s="101">
        <v>0.7</v>
      </c>
      <c r="L38" s="101">
        <v>0.7</v>
      </c>
      <c r="M38" s="101">
        <v>0.7</v>
      </c>
      <c r="N38" s="101">
        <v>0.7</v>
      </c>
      <c r="O38" s="101">
        <v>0.7</v>
      </c>
      <c r="P38" s="101">
        <v>0.7</v>
      </c>
      <c r="Q38" s="101">
        <v>0.7</v>
      </c>
      <c r="R38" s="101">
        <v>0.7</v>
      </c>
      <c r="S38" s="101">
        <v>0.7</v>
      </c>
      <c r="T38" s="101">
        <v>0.7</v>
      </c>
      <c r="U38" s="101">
        <v>0.7</v>
      </c>
      <c r="V38" s="101">
        <v>0.7</v>
      </c>
      <c r="W38" s="101">
        <v>0.7</v>
      </c>
      <c r="X38" s="101">
        <v>0.7</v>
      </c>
      <c r="Y38" s="101">
        <v>0.7</v>
      </c>
      <c r="Z38" s="101">
        <v>0.7</v>
      </c>
      <c r="AA38" s="101">
        <v>0.7</v>
      </c>
      <c r="AB38" s="101">
        <v>0.7</v>
      </c>
      <c r="AC38" s="101">
        <v>0.7</v>
      </c>
      <c r="AD38" s="101">
        <v>0.7</v>
      </c>
      <c r="AE38" s="101">
        <v>0.7</v>
      </c>
      <c r="AF38" s="101">
        <v>0.7</v>
      </c>
      <c r="AG38" s="101">
        <v>0.7</v>
      </c>
      <c r="AH38" s="101">
        <v>0.7</v>
      </c>
      <c r="AI38" s="101">
        <v>0.7</v>
      </c>
    </row>
    <row r="39" spans="1:35" s="1" customFormat="1" ht="23.25" customHeight="1" thickBot="1" x14ac:dyDescent="0.3">
      <c r="A39" s="58" t="s">
        <v>139</v>
      </c>
      <c r="B39" s="59"/>
      <c r="C39" s="59"/>
      <c r="D39" s="59"/>
      <c r="E39" s="155">
        <v>20</v>
      </c>
      <c r="F39" s="103">
        <f t="shared" ref="F39:O39" si="26">$E$39*F38</f>
        <v>0</v>
      </c>
      <c r="G39" s="103">
        <f t="shared" si="26"/>
        <v>14</v>
      </c>
      <c r="H39" s="103">
        <f t="shared" si="26"/>
        <v>14</v>
      </c>
      <c r="I39" s="103">
        <f t="shared" si="26"/>
        <v>14</v>
      </c>
      <c r="J39" s="103">
        <f t="shared" si="26"/>
        <v>14</v>
      </c>
      <c r="K39" s="103">
        <f t="shared" si="26"/>
        <v>14</v>
      </c>
      <c r="L39" s="103">
        <f t="shared" si="26"/>
        <v>14</v>
      </c>
      <c r="M39" s="103">
        <f t="shared" si="26"/>
        <v>14</v>
      </c>
      <c r="N39" s="103">
        <f t="shared" si="26"/>
        <v>14</v>
      </c>
      <c r="O39" s="104">
        <f t="shared" si="26"/>
        <v>14</v>
      </c>
      <c r="P39" s="104">
        <f t="shared" ref="P39:W39" si="27">$E$39*P38</f>
        <v>14</v>
      </c>
      <c r="Q39" s="104">
        <f t="shared" si="27"/>
        <v>14</v>
      </c>
      <c r="R39" s="104">
        <f t="shared" si="27"/>
        <v>14</v>
      </c>
      <c r="S39" s="104">
        <f t="shared" si="27"/>
        <v>14</v>
      </c>
      <c r="T39" s="104">
        <f t="shared" si="27"/>
        <v>14</v>
      </c>
      <c r="U39" s="104">
        <f t="shared" si="27"/>
        <v>14</v>
      </c>
      <c r="V39" s="104">
        <f t="shared" si="27"/>
        <v>14</v>
      </c>
      <c r="W39" s="104">
        <f t="shared" si="27"/>
        <v>14</v>
      </c>
      <c r="X39" s="104">
        <f t="shared" ref="X39:Y39" si="28">$E$39*X38</f>
        <v>14</v>
      </c>
      <c r="Y39" s="104">
        <f t="shared" si="28"/>
        <v>14</v>
      </c>
      <c r="Z39" s="104">
        <f t="shared" ref="Z39:AA39" si="29">$E$39*Z38</f>
        <v>14</v>
      </c>
      <c r="AA39" s="104">
        <f t="shared" si="29"/>
        <v>14</v>
      </c>
      <c r="AB39" s="104">
        <f t="shared" ref="AB39:AI39" si="30">$E$39*AB38</f>
        <v>14</v>
      </c>
      <c r="AC39" s="104">
        <f t="shared" si="30"/>
        <v>14</v>
      </c>
      <c r="AD39" s="104">
        <f t="shared" si="30"/>
        <v>14</v>
      </c>
      <c r="AE39" s="104">
        <f t="shared" si="30"/>
        <v>14</v>
      </c>
      <c r="AF39" s="104">
        <f t="shared" si="30"/>
        <v>14</v>
      </c>
      <c r="AG39" s="104">
        <f t="shared" si="30"/>
        <v>14</v>
      </c>
      <c r="AH39" s="104">
        <f t="shared" si="30"/>
        <v>14</v>
      </c>
      <c r="AI39" s="104">
        <f t="shared" si="30"/>
        <v>14</v>
      </c>
    </row>
    <row r="40" spans="1:35" s="1" customFormat="1" ht="23.25" customHeight="1" thickBot="1" x14ac:dyDescent="0.25">
      <c r="A40" s="35"/>
      <c r="E40" s="65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</row>
    <row r="41" spans="1:35" s="1" customFormat="1" ht="23.25" customHeight="1" x14ac:dyDescent="0.25">
      <c r="A41" s="89" t="s">
        <v>64</v>
      </c>
      <c r="B41" s="90"/>
      <c r="C41" s="90"/>
      <c r="D41" s="90"/>
      <c r="E41" s="90"/>
      <c r="F41" s="101">
        <v>0</v>
      </c>
      <c r="G41" s="101">
        <v>0.7</v>
      </c>
      <c r="H41" s="101">
        <v>0.7</v>
      </c>
      <c r="I41" s="101">
        <v>0.7</v>
      </c>
      <c r="J41" s="101">
        <v>0.7</v>
      </c>
      <c r="K41" s="101">
        <v>0.7</v>
      </c>
      <c r="L41" s="101">
        <v>0.7</v>
      </c>
      <c r="M41" s="101">
        <v>0.7</v>
      </c>
      <c r="N41" s="101">
        <v>0.7</v>
      </c>
      <c r="O41" s="101">
        <v>0.7</v>
      </c>
      <c r="P41" s="101">
        <v>0.7</v>
      </c>
      <c r="Q41" s="101">
        <v>0.7</v>
      </c>
      <c r="R41" s="101">
        <v>0.7</v>
      </c>
      <c r="S41" s="101">
        <v>0.7</v>
      </c>
      <c r="T41" s="101">
        <v>0.7</v>
      </c>
      <c r="U41" s="101">
        <v>0.7</v>
      </c>
      <c r="V41" s="101">
        <v>0.7</v>
      </c>
      <c r="W41" s="101">
        <v>0.7</v>
      </c>
      <c r="X41" s="101">
        <v>0.7</v>
      </c>
      <c r="Y41" s="101">
        <v>0.7</v>
      </c>
      <c r="Z41" s="101">
        <v>0.7</v>
      </c>
      <c r="AA41" s="101">
        <v>0.7</v>
      </c>
      <c r="AB41" s="101">
        <v>0.7</v>
      </c>
      <c r="AC41" s="101">
        <v>0.7</v>
      </c>
      <c r="AD41" s="101">
        <v>0.7</v>
      </c>
      <c r="AE41" s="101">
        <v>0.7</v>
      </c>
      <c r="AF41" s="101">
        <v>0.7</v>
      </c>
      <c r="AG41" s="101">
        <v>0.7</v>
      </c>
      <c r="AH41" s="101">
        <v>0.7</v>
      </c>
      <c r="AI41" s="101">
        <v>0.7</v>
      </c>
    </row>
    <row r="42" spans="1:35" s="1" customFormat="1" ht="23.25" customHeight="1" thickBot="1" x14ac:dyDescent="0.3">
      <c r="A42" s="58" t="s">
        <v>65</v>
      </c>
      <c r="B42" s="59"/>
      <c r="C42" s="59"/>
      <c r="D42" s="59"/>
      <c r="E42" s="155">
        <v>290</v>
      </c>
      <c r="F42" s="103">
        <f t="shared" ref="F42:O42" si="31">$E$42*F41</f>
        <v>0</v>
      </c>
      <c r="G42" s="103">
        <f t="shared" si="31"/>
        <v>203</v>
      </c>
      <c r="H42" s="103">
        <f t="shared" si="31"/>
        <v>203</v>
      </c>
      <c r="I42" s="103">
        <f t="shared" si="31"/>
        <v>203</v>
      </c>
      <c r="J42" s="103">
        <f t="shared" si="31"/>
        <v>203</v>
      </c>
      <c r="K42" s="103">
        <f t="shared" si="31"/>
        <v>203</v>
      </c>
      <c r="L42" s="103">
        <f t="shared" si="31"/>
        <v>203</v>
      </c>
      <c r="M42" s="103">
        <f t="shared" si="31"/>
        <v>203</v>
      </c>
      <c r="N42" s="103">
        <f t="shared" si="31"/>
        <v>203</v>
      </c>
      <c r="O42" s="104">
        <f t="shared" si="31"/>
        <v>203</v>
      </c>
      <c r="P42" s="104">
        <f t="shared" ref="P42:W42" si="32">$E$42*P41</f>
        <v>203</v>
      </c>
      <c r="Q42" s="104">
        <f t="shared" si="32"/>
        <v>203</v>
      </c>
      <c r="R42" s="104">
        <f t="shared" si="32"/>
        <v>203</v>
      </c>
      <c r="S42" s="104">
        <f t="shared" si="32"/>
        <v>203</v>
      </c>
      <c r="T42" s="104">
        <f t="shared" si="32"/>
        <v>203</v>
      </c>
      <c r="U42" s="104">
        <f t="shared" si="32"/>
        <v>203</v>
      </c>
      <c r="V42" s="104">
        <f t="shared" si="32"/>
        <v>203</v>
      </c>
      <c r="W42" s="104">
        <f t="shared" si="32"/>
        <v>203</v>
      </c>
      <c r="X42" s="104">
        <f t="shared" ref="X42:Y42" si="33">$E$42*X41</f>
        <v>203</v>
      </c>
      <c r="Y42" s="104">
        <f t="shared" si="33"/>
        <v>203</v>
      </c>
      <c r="Z42" s="104">
        <f t="shared" ref="Z42:AA42" si="34">$E$42*Z41</f>
        <v>203</v>
      </c>
      <c r="AA42" s="104">
        <f t="shared" si="34"/>
        <v>203</v>
      </c>
      <c r="AB42" s="104">
        <f t="shared" ref="AB42:AI42" si="35">$E$42*AB41</f>
        <v>203</v>
      </c>
      <c r="AC42" s="104">
        <f t="shared" si="35"/>
        <v>203</v>
      </c>
      <c r="AD42" s="104">
        <f t="shared" si="35"/>
        <v>203</v>
      </c>
      <c r="AE42" s="104">
        <f t="shared" si="35"/>
        <v>203</v>
      </c>
      <c r="AF42" s="104">
        <f t="shared" si="35"/>
        <v>203</v>
      </c>
      <c r="AG42" s="104">
        <f t="shared" si="35"/>
        <v>203</v>
      </c>
      <c r="AH42" s="104">
        <f t="shared" si="35"/>
        <v>203</v>
      </c>
      <c r="AI42" s="104">
        <f t="shared" si="35"/>
        <v>203</v>
      </c>
    </row>
    <row r="43" spans="1:35" s="1" customFormat="1" ht="23.25" customHeight="1" thickBot="1" x14ac:dyDescent="0.25">
      <c r="A43" s="35"/>
      <c r="E43" s="65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</row>
    <row r="44" spans="1:35" s="1" customFormat="1" ht="23.25" customHeight="1" x14ac:dyDescent="0.25">
      <c r="A44" s="89" t="s">
        <v>66</v>
      </c>
      <c r="B44" s="90"/>
      <c r="C44" s="90"/>
      <c r="D44" s="90"/>
      <c r="E44" s="90"/>
      <c r="F44" s="101">
        <v>0</v>
      </c>
      <c r="G44" s="101">
        <v>0.7</v>
      </c>
      <c r="H44" s="101">
        <v>0.7</v>
      </c>
      <c r="I44" s="101">
        <v>0.7</v>
      </c>
      <c r="J44" s="101">
        <v>0.7</v>
      </c>
      <c r="K44" s="101">
        <v>0.7</v>
      </c>
      <c r="L44" s="101">
        <v>0.7</v>
      </c>
      <c r="M44" s="101">
        <v>0.7</v>
      </c>
      <c r="N44" s="101">
        <v>0.7</v>
      </c>
      <c r="O44" s="101">
        <v>0.7</v>
      </c>
      <c r="P44" s="101">
        <v>0.7</v>
      </c>
      <c r="Q44" s="101">
        <v>0.7</v>
      </c>
      <c r="R44" s="101">
        <v>0.7</v>
      </c>
      <c r="S44" s="101">
        <v>0.7</v>
      </c>
      <c r="T44" s="101">
        <v>0.7</v>
      </c>
      <c r="U44" s="101">
        <v>0.7</v>
      </c>
      <c r="V44" s="101">
        <v>0.7</v>
      </c>
      <c r="W44" s="101">
        <v>0.7</v>
      </c>
      <c r="X44" s="101">
        <v>0.7</v>
      </c>
      <c r="Y44" s="101">
        <v>0.7</v>
      </c>
      <c r="Z44" s="101">
        <v>0.7</v>
      </c>
      <c r="AA44" s="101">
        <v>0.7</v>
      </c>
      <c r="AB44" s="101">
        <v>0.7</v>
      </c>
      <c r="AC44" s="101">
        <v>0.7</v>
      </c>
      <c r="AD44" s="101">
        <v>0.7</v>
      </c>
      <c r="AE44" s="101">
        <v>0.7</v>
      </c>
      <c r="AF44" s="101">
        <v>0.7</v>
      </c>
      <c r="AG44" s="101">
        <v>0.7</v>
      </c>
      <c r="AH44" s="101">
        <v>0.7</v>
      </c>
      <c r="AI44" s="101">
        <v>0.7</v>
      </c>
    </row>
    <row r="45" spans="1:35" s="1" customFormat="1" ht="23.25" customHeight="1" thickBot="1" x14ac:dyDescent="0.3">
      <c r="A45" s="58" t="s">
        <v>67</v>
      </c>
      <c r="B45" s="59"/>
      <c r="C45" s="59"/>
      <c r="D45" s="59"/>
      <c r="E45" s="155">
        <v>290</v>
      </c>
      <c r="F45" s="103">
        <f t="shared" ref="F45:O45" si="36">$E$45*F44</f>
        <v>0</v>
      </c>
      <c r="G45" s="103">
        <f t="shared" si="36"/>
        <v>203</v>
      </c>
      <c r="H45" s="103">
        <f t="shared" si="36"/>
        <v>203</v>
      </c>
      <c r="I45" s="103">
        <f t="shared" si="36"/>
        <v>203</v>
      </c>
      <c r="J45" s="103">
        <f t="shared" si="36"/>
        <v>203</v>
      </c>
      <c r="K45" s="103">
        <f t="shared" si="36"/>
        <v>203</v>
      </c>
      <c r="L45" s="103">
        <f t="shared" si="36"/>
        <v>203</v>
      </c>
      <c r="M45" s="103">
        <f t="shared" si="36"/>
        <v>203</v>
      </c>
      <c r="N45" s="103">
        <f t="shared" si="36"/>
        <v>203</v>
      </c>
      <c r="O45" s="104">
        <f t="shared" si="36"/>
        <v>203</v>
      </c>
      <c r="P45" s="104">
        <f t="shared" ref="P45:W45" si="37">$E$45*P44</f>
        <v>203</v>
      </c>
      <c r="Q45" s="104">
        <f t="shared" si="37"/>
        <v>203</v>
      </c>
      <c r="R45" s="104">
        <f t="shared" si="37"/>
        <v>203</v>
      </c>
      <c r="S45" s="104">
        <f t="shared" si="37"/>
        <v>203</v>
      </c>
      <c r="T45" s="104">
        <f t="shared" si="37"/>
        <v>203</v>
      </c>
      <c r="U45" s="104">
        <f t="shared" si="37"/>
        <v>203</v>
      </c>
      <c r="V45" s="104">
        <f t="shared" si="37"/>
        <v>203</v>
      </c>
      <c r="W45" s="104">
        <f t="shared" si="37"/>
        <v>203</v>
      </c>
      <c r="X45" s="104">
        <f t="shared" ref="X45:Y45" si="38">$E$45*X44</f>
        <v>203</v>
      </c>
      <c r="Y45" s="104">
        <f t="shared" si="38"/>
        <v>203</v>
      </c>
      <c r="Z45" s="104">
        <f t="shared" ref="Z45:AA45" si="39">$E$45*Z44</f>
        <v>203</v>
      </c>
      <c r="AA45" s="104">
        <f t="shared" si="39"/>
        <v>203</v>
      </c>
      <c r="AB45" s="104">
        <f t="shared" ref="AB45:AI45" si="40">$E$45*AB44</f>
        <v>203</v>
      </c>
      <c r="AC45" s="104">
        <f t="shared" si="40"/>
        <v>203</v>
      </c>
      <c r="AD45" s="104">
        <f t="shared" si="40"/>
        <v>203</v>
      </c>
      <c r="AE45" s="104">
        <f t="shared" si="40"/>
        <v>203</v>
      </c>
      <c r="AF45" s="104">
        <f t="shared" si="40"/>
        <v>203</v>
      </c>
      <c r="AG45" s="104">
        <f t="shared" si="40"/>
        <v>203</v>
      </c>
      <c r="AH45" s="104">
        <f t="shared" si="40"/>
        <v>203</v>
      </c>
      <c r="AI45" s="104">
        <f t="shared" si="40"/>
        <v>203</v>
      </c>
    </row>
    <row r="46" spans="1:35" s="1" customFormat="1" ht="23.25" customHeight="1" thickBot="1" x14ac:dyDescent="0.25">
      <c r="A46" s="18"/>
      <c r="B46" s="19"/>
      <c r="C46" s="19"/>
      <c r="D46" s="19"/>
      <c r="E46" s="19" t="s">
        <v>142</v>
      </c>
      <c r="F46" s="207"/>
      <c r="G46" s="207">
        <v>0.15</v>
      </c>
      <c r="H46" s="207">
        <v>0.2</v>
      </c>
      <c r="I46" s="207">
        <v>0.25</v>
      </c>
      <c r="J46" s="207">
        <v>0.3</v>
      </c>
      <c r="K46" s="207">
        <v>0.35</v>
      </c>
      <c r="L46" s="207">
        <v>0.4</v>
      </c>
      <c r="M46" s="207">
        <v>0.45</v>
      </c>
      <c r="N46" s="207">
        <v>0.5</v>
      </c>
      <c r="O46" s="208">
        <v>0.55000000000000004</v>
      </c>
      <c r="P46" s="207">
        <v>0.6</v>
      </c>
      <c r="Q46" s="208">
        <v>0.65</v>
      </c>
      <c r="R46" s="207">
        <v>0.7</v>
      </c>
      <c r="S46" s="208">
        <v>0.75</v>
      </c>
      <c r="T46" s="207">
        <v>0.8</v>
      </c>
      <c r="U46" s="208">
        <v>0.85</v>
      </c>
      <c r="V46" s="207">
        <v>0.9</v>
      </c>
      <c r="W46" s="208">
        <v>0.95</v>
      </c>
      <c r="X46" s="207">
        <v>1</v>
      </c>
      <c r="Y46" s="208">
        <v>1</v>
      </c>
      <c r="Z46" s="207">
        <v>1</v>
      </c>
      <c r="AA46" s="208">
        <v>1</v>
      </c>
      <c r="AB46" s="207">
        <v>1</v>
      </c>
      <c r="AC46" s="208">
        <v>1</v>
      </c>
      <c r="AD46" s="207">
        <v>1</v>
      </c>
      <c r="AE46" s="208">
        <v>1</v>
      </c>
      <c r="AF46" s="207">
        <v>1</v>
      </c>
      <c r="AG46" s="208">
        <v>1</v>
      </c>
      <c r="AH46" s="207">
        <v>1</v>
      </c>
      <c r="AI46" s="208">
        <v>1</v>
      </c>
    </row>
    <row r="47" spans="1:35" s="1" customFormat="1" ht="23.25" customHeight="1" thickBot="1" x14ac:dyDescent="0.3">
      <c r="A47" s="86" t="s">
        <v>19</v>
      </c>
      <c r="E47" s="66"/>
      <c r="F47" s="66">
        <v>0.05</v>
      </c>
      <c r="G47" s="66">
        <v>0.08</v>
      </c>
      <c r="H47" s="66">
        <v>0.11</v>
      </c>
      <c r="I47" s="66">
        <v>0.14000000000000001</v>
      </c>
      <c r="J47" s="66">
        <v>0.17</v>
      </c>
      <c r="K47" s="66">
        <v>0.2</v>
      </c>
      <c r="L47" s="66">
        <v>0.23</v>
      </c>
      <c r="M47" s="66">
        <v>0.26</v>
      </c>
      <c r="N47" s="66">
        <v>0.28999999999999998</v>
      </c>
      <c r="O47" s="24">
        <v>0.32</v>
      </c>
      <c r="P47" s="66">
        <v>0.35</v>
      </c>
      <c r="Q47" s="24">
        <v>0.38</v>
      </c>
      <c r="R47" s="66">
        <v>0.41</v>
      </c>
      <c r="S47" s="24">
        <v>0.44</v>
      </c>
      <c r="T47" s="66">
        <v>0.47</v>
      </c>
      <c r="U47" s="24">
        <v>0.5</v>
      </c>
      <c r="V47" s="66">
        <v>0.53</v>
      </c>
      <c r="W47" s="24">
        <v>0.56000000000000005</v>
      </c>
      <c r="X47" s="66">
        <v>0.59</v>
      </c>
      <c r="Y47" s="24">
        <v>0.62</v>
      </c>
      <c r="Z47" s="66">
        <v>0.65</v>
      </c>
      <c r="AA47" s="24">
        <v>0.68</v>
      </c>
      <c r="AB47" s="66">
        <v>0.71</v>
      </c>
      <c r="AC47" s="24">
        <v>0.74</v>
      </c>
      <c r="AD47" s="66">
        <v>0.77</v>
      </c>
      <c r="AE47" s="24">
        <v>0.8</v>
      </c>
      <c r="AF47" s="66">
        <v>0.83</v>
      </c>
      <c r="AG47" s="24">
        <v>0.86</v>
      </c>
      <c r="AH47" s="66">
        <v>0.89</v>
      </c>
      <c r="AI47" s="24">
        <v>0.92</v>
      </c>
    </row>
    <row r="48" spans="1:35" s="1" customFormat="1" ht="23.25" customHeight="1" x14ac:dyDescent="0.25">
      <c r="A48" s="89" t="s">
        <v>20</v>
      </c>
      <c r="B48" s="90"/>
      <c r="C48" s="90"/>
      <c r="D48" s="90"/>
      <c r="E48" s="91"/>
      <c r="F48" s="14">
        <f>SUM(F49:F51)</f>
        <v>0</v>
      </c>
      <c r="G48" s="3">
        <f>SUM(G49:G51)</f>
        <v>34.580000000000005</v>
      </c>
      <c r="H48" s="3">
        <f>SUM(H49:H51)</f>
        <v>47.460000000000008</v>
      </c>
      <c r="I48" s="3">
        <f>SUM(I49:I51)</f>
        <v>60.34</v>
      </c>
      <c r="J48" s="3">
        <f t="shared" ref="J48:N48" si="41">SUM(J49:J51)</f>
        <v>73.220000000000013</v>
      </c>
      <c r="K48" s="3">
        <f t="shared" si="41"/>
        <v>86.1</v>
      </c>
      <c r="L48" s="3">
        <f t="shared" si="41"/>
        <v>98.980000000000018</v>
      </c>
      <c r="M48" s="3">
        <f t="shared" si="41"/>
        <v>111.86</v>
      </c>
      <c r="N48" s="3">
        <f t="shared" si="41"/>
        <v>124.74000000000001</v>
      </c>
      <c r="O48" s="27">
        <f>SUM(O49:O51)</f>
        <v>137.62</v>
      </c>
      <c r="P48" s="27">
        <f t="shared" ref="P48:V48" si="42">SUM(P49:P51)</f>
        <v>150.5</v>
      </c>
      <c r="Q48" s="27">
        <f t="shared" si="42"/>
        <v>163.38</v>
      </c>
      <c r="R48" s="27">
        <f t="shared" si="42"/>
        <v>176.26</v>
      </c>
      <c r="S48" s="27">
        <f t="shared" si="42"/>
        <v>189.14000000000001</v>
      </c>
      <c r="T48" s="27">
        <f t="shared" si="42"/>
        <v>202.01999999999998</v>
      </c>
      <c r="U48" s="27">
        <f t="shared" si="42"/>
        <v>214.9</v>
      </c>
      <c r="V48" s="27">
        <f t="shared" si="42"/>
        <v>227.78</v>
      </c>
      <c r="W48" s="27">
        <f>SUM(W49:W51)</f>
        <v>240.66000000000003</v>
      </c>
      <c r="X48" s="27">
        <f t="shared" ref="X48" si="43">SUM(X49:X51)</f>
        <v>253.53999999999996</v>
      </c>
      <c r="Y48" s="27">
        <f t="shared" ref="Y48" si="44">SUM(Y49:Y51)</f>
        <v>265.72000000000003</v>
      </c>
      <c r="Z48" s="27">
        <f t="shared" ref="Z48:AI48" si="45">SUM(Z49:Z51)</f>
        <v>277.90000000000003</v>
      </c>
      <c r="AA48" s="27">
        <f t="shared" ref="AA48" si="46">SUM(AA49:AA51)</f>
        <v>290.08000000000004</v>
      </c>
      <c r="AB48" s="27">
        <f t="shared" si="45"/>
        <v>302.26</v>
      </c>
      <c r="AC48" s="27">
        <f t="shared" si="45"/>
        <v>314.44</v>
      </c>
      <c r="AD48" s="27">
        <f t="shared" si="45"/>
        <v>326.62</v>
      </c>
      <c r="AE48" s="27">
        <f t="shared" si="45"/>
        <v>338.8</v>
      </c>
      <c r="AF48" s="27">
        <f t="shared" si="45"/>
        <v>350.97999999999996</v>
      </c>
      <c r="AG48" s="27">
        <f t="shared" si="45"/>
        <v>363.15999999999997</v>
      </c>
      <c r="AH48" s="27">
        <f t="shared" si="45"/>
        <v>375.34000000000003</v>
      </c>
      <c r="AI48" s="27">
        <f t="shared" si="45"/>
        <v>387.52000000000004</v>
      </c>
    </row>
    <row r="49" spans="1:35" s="1" customFormat="1" ht="23.25" customHeight="1" x14ac:dyDescent="0.25">
      <c r="A49" s="92" t="s">
        <v>137</v>
      </c>
      <c r="B49" s="93"/>
      <c r="C49" s="93"/>
      <c r="D49" s="93"/>
      <c r="E49" s="94"/>
      <c r="F49" s="3">
        <f t="shared" ref="F49" si="47">F39*F47</f>
        <v>0</v>
      </c>
      <c r="G49" s="209">
        <f>G39*G46</f>
        <v>2.1</v>
      </c>
      <c r="H49" s="209">
        <f t="shared" ref="H49:AI49" si="48">H39*H46</f>
        <v>2.8000000000000003</v>
      </c>
      <c r="I49" s="209">
        <f t="shared" si="48"/>
        <v>3.5</v>
      </c>
      <c r="J49" s="209">
        <f t="shared" si="48"/>
        <v>4.2</v>
      </c>
      <c r="K49" s="209">
        <f t="shared" si="48"/>
        <v>4.8999999999999995</v>
      </c>
      <c r="L49" s="209">
        <f t="shared" si="48"/>
        <v>5.6000000000000005</v>
      </c>
      <c r="M49" s="209">
        <f t="shared" si="48"/>
        <v>6.3</v>
      </c>
      <c r="N49" s="209">
        <f t="shared" si="48"/>
        <v>7</v>
      </c>
      <c r="O49" s="3">
        <f t="shared" si="48"/>
        <v>7.7000000000000011</v>
      </c>
      <c r="P49" s="3">
        <f t="shared" si="48"/>
        <v>8.4</v>
      </c>
      <c r="Q49" s="3">
        <f t="shared" si="48"/>
        <v>9.1</v>
      </c>
      <c r="R49" s="3">
        <f t="shared" si="48"/>
        <v>9.7999999999999989</v>
      </c>
      <c r="S49" s="3">
        <f t="shared" si="48"/>
        <v>10.5</v>
      </c>
      <c r="T49" s="3">
        <f t="shared" si="48"/>
        <v>11.200000000000001</v>
      </c>
      <c r="U49" s="3">
        <f t="shared" si="48"/>
        <v>11.9</v>
      </c>
      <c r="V49" s="3">
        <f t="shared" si="48"/>
        <v>12.6</v>
      </c>
      <c r="W49" s="3">
        <f t="shared" si="48"/>
        <v>13.299999999999999</v>
      </c>
      <c r="X49" s="3">
        <f t="shared" si="48"/>
        <v>14</v>
      </c>
      <c r="Y49" s="3">
        <f t="shared" si="48"/>
        <v>14</v>
      </c>
      <c r="Z49" s="3">
        <f t="shared" si="48"/>
        <v>14</v>
      </c>
      <c r="AA49" s="3">
        <f t="shared" si="48"/>
        <v>14</v>
      </c>
      <c r="AB49" s="3">
        <f t="shared" si="48"/>
        <v>14</v>
      </c>
      <c r="AC49" s="3">
        <f t="shared" si="48"/>
        <v>14</v>
      </c>
      <c r="AD49" s="3">
        <f t="shared" si="48"/>
        <v>14</v>
      </c>
      <c r="AE49" s="3">
        <f t="shared" si="48"/>
        <v>14</v>
      </c>
      <c r="AF49" s="3">
        <f t="shared" si="48"/>
        <v>14</v>
      </c>
      <c r="AG49" s="3">
        <f t="shared" si="48"/>
        <v>14</v>
      </c>
      <c r="AH49" s="3">
        <f t="shared" si="48"/>
        <v>14</v>
      </c>
      <c r="AI49" s="3">
        <f t="shared" si="48"/>
        <v>14</v>
      </c>
    </row>
    <row r="50" spans="1:35" s="1" customFormat="1" ht="23.25" customHeight="1" x14ac:dyDescent="0.25">
      <c r="A50" s="92" t="s">
        <v>69</v>
      </c>
      <c r="B50" s="93"/>
      <c r="C50" s="93"/>
      <c r="D50" s="93"/>
      <c r="E50" s="94"/>
      <c r="F50" s="3">
        <f t="shared" ref="F50:O50" si="49">(F42*F47)</f>
        <v>0</v>
      </c>
      <c r="G50" s="3">
        <f t="shared" si="49"/>
        <v>16.240000000000002</v>
      </c>
      <c r="H50" s="3">
        <f t="shared" si="49"/>
        <v>22.330000000000002</v>
      </c>
      <c r="I50" s="3">
        <f t="shared" si="49"/>
        <v>28.42</v>
      </c>
      <c r="J50" s="3">
        <f t="shared" si="49"/>
        <v>34.510000000000005</v>
      </c>
      <c r="K50" s="3">
        <f t="shared" si="49"/>
        <v>40.6</v>
      </c>
      <c r="L50" s="3">
        <f t="shared" si="49"/>
        <v>46.690000000000005</v>
      </c>
      <c r="M50" s="3">
        <f t="shared" si="49"/>
        <v>52.78</v>
      </c>
      <c r="N50" s="3">
        <f t="shared" si="49"/>
        <v>58.87</v>
      </c>
      <c r="O50" s="27">
        <f t="shared" si="49"/>
        <v>64.960000000000008</v>
      </c>
      <c r="P50" s="27">
        <f t="shared" ref="P50:W50" si="50">(P42*P47)</f>
        <v>71.05</v>
      </c>
      <c r="Q50" s="27">
        <f t="shared" si="50"/>
        <v>77.14</v>
      </c>
      <c r="R50" s="27">
        <f t="shared" si="50"/>
        <v>83.22999999999999</v>
      </c>
      <c r="S50" s="27">
        <f t="shared" si="50"/>
        <v>89.320000000000007</v>
      </c>
      <c r="T50" s="27">
        <f t="shared" si="50"/>
        <v>95.41</v>
      </c>
      <c r="U50" s="27">
        <f t="shared" si="50"/>
        <v>101.5</v>
      </c>
      <c r="V50" s="27">
        <f t="shared" si="50"/>
        <v>107.59</v>
      </c>
      <c r="W50" s="27">
        <f t="shared" si="50"/>
        <v>113.68</v>
      </c>
      <c r="X50" s="27">
        <f t="shared" ref="X50:Y50" si="51">(X42*X47)</f>
        <v>119.77</v>
      </c>
      <c r="Y50" s="27">
        <f t="shared" si="51"/>
        <v>125.86</v>
      </c>
      <c r="Z50" s="27">
        <f t="shared" ref="Z50:AA50" si="52">(Z42*Z47)</f>
        <v>131.95000000000002</v>
      </c>
      <c r="AA50" s="27">
        <f t="shared" si="52"/>
        <v>138.04000000000002</v>
      </c>
      <c r="AB50" s="27">
        <f t="shared" ref="AB50:AI50" si="53">(AB42*AB47)</f>
        <v>144.13</v>
      </c>
      <c r="AC50" s="27">
        <f t="shared" si="53"/>
        <v>150.22</v>
      </c>
      <c r="AD50" s="27">
        <f t="shared" si="53"/>
        <v>156.31</v>
      </c>
      <c r="AE50" s="27">
        <f t="shared" si="53"/>
        <v>162.4</v>
      </c>
      <c r="AF50" s="27">
        <f t="shared" si="53"/>
        <v>168.48999999999998</v>
      </c>
      <c r="AG50" s="27">
        <f t="shared" si="53"/>
        <v>174.57999999999998</v>
      </c>
      <c r="AH50" s="27">
        <f t="shared" si="53"/>
        <v>180.67000000000002</v>
      </c>
      <c r="AI50" s="27">
        <f t="shared" si="53"/>
        <v>186.76000000000002</v>
      </c>
    </row>
    <row r="51" spans="1:35" s="1" customFormat="1" ht="23.25" customHeight="1" thickBot="1" x14ac:dyDescent="0.3">
      <c r="A51" s="58" t="s">
        <v>70</v>
      </c>
      <c r="B51" s="59"/>
      <c r="C51" s="59"/>
      <c r="D51" s="59"/>
      <c r="E51" s="64"/>
      <c r="F51" s="29">
        <f t="shared" ref="F51:O51" si="54">(F45*F47)</f>
        <v>0</v>
      </c>
      <c r="G51" s="29">
        <f t="shared" si="54"/>
        <v>16.240000000000002</v>
      </c>
      <c r="H51" s="29">
        <f t="shared" si="54"/>
        <v>22.330000000000002</v>
      </c>
      <c r="I51" s="29">
        <f t="shared" si="54"/>
        <v>28.42</v>
      </c>
      <c r="J51" s="29">
        <f t="shared" si="54"/>
        <v>34.510000000000005</v>
      </c>
      <c r="K51" s="29">
        <f t="shared" si="54"/>
        <v>40.6</v>
      </c>
      <c r="L51" s="29">
        <f t="shared" si="54"/>
        <v>46.690000000000005</v>
      </c>
      <c r="M51" s="29">
        <f t="shared" si="54"/>
        <v>52.78</v>
      </c>
      <c r="N51" s="29">
        <f t="shared" si="54"/>
        <v>58.87</v>
      </c>
      <c r="O51" s="30">
        <f t="shared" si="54"/>
        <v>64.960000000000008</v>
      </c>
      <c r="P51" s="30">
        <f t="shared" ref="P51:W51" si="55">(P45*P47)</f>
        <v>71.05</v>
      </c>
      <c r="Q51" s="30">
        <f t="shared" si="55"/>
        <v>77.14</v>
      </c>
      <c r="R51" s="30">
        <f t="shared" si="55"/>
        <v>83.22999999999999</v>
      </c>
      <c r="S51" s="30">
        <f t="shared" si="55"/>
        <v>89.320000000000007</v>
      </c>
      <c r="T51" s="30">
        <f t="shared" si="55"/>
        <v>95.41</v>
      </c>
      <c r="U51" s="30">
        <f t="shared" si="55"/>
        <v>101.5</v>
      </c>
      <c r="V51" s="30">
        <f t="shared" si="55"/>
        <v>107.59</v>
      </c>
      <c r="W51" s="30">
        <f t="shared" si="55"/>
        <v>113.68</v>
      </c>
      <c r="X51" s="30">
        <f t="shared" ref="X51:Y51" si="56">(X45*X47)</f>
        <v>119.77</v>
      </c>
      <c r="Y51" s="30">
        <f t="shared" si="56"/>
        <v>125.86</v>
      </c>
      <c r="Z51" s="30">
        <f t="shared" ref="Z51:AA51" si="57">(Z45*Z47)</f>
        <v>131.95000000000002</v>
      </c>
      <c r="AA51" s="30">
        <f t="shared" si="57"/>
        <v>138.04000000000002</v>
      </c>
      <c r="AB51" s="30">
        <f t="shared" ref="AB51:AI51" si="58">(AB45*AB47)</f>
        <v>144.13</v>
      </c>
      <c r="AC51" s="30">
        <f t="shared" si="58"/>
        <v>150.22</v>
      </c>
      <c r="AD51" s="30">
        <f t="shared" si="58"/>
        <v>156.31</v>
      </c>
      <c r="AE51" s="30">
        <f t="shared" si="58"/>
        <v>162.4</v>
      </c>
      <c r="AF51" s="30">
        <f t="shared" si="58"/>
        <v>168.48999999999998</v>
      </c>
      <c r="AG51" s="30">
        <f t="shared" si="58"/>
        <v>174.57999999999998</v>
      </c>
      <c r="AH51" s="30">
        <f t="shared" si="58"/>
        <v>180.67000000000002</v>
      </c>
      <c r="AI51" s="30">
        <f t="shared" si="58"/>
        <v>186.76000000000002</v>
      </c>
    </row>
    <row r="52" spans="1:35" s="1" customFormat="1" ht="23.25" customHeight="1" x14ac:dyDescent="0.2">
      <c r="A52" s="10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</row>
    <row r="53" spans="1:35" s="1" customFormat="1" ht="23.25" customHeight="1" x14ac:dyDescent="0.25">
      <c r="A53" s="87" t="s">
        <v>46</v>
      </c>
      <c r="B53" s="88"/>
      <c r="C53" s="88"/>
      <c r="D53" s="70"/>
      <c r="E53" s="70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</row>
    <row r="54" spans="1:35" s="1" customFormat="1" ht="23.25" customHeight="1" x14ac:dyDescent="0.2">
      <c r="A54" s="35"/>
      <c r="E54" s="66"/>
      <c r="F54" s="4">
        <v>2023</v>
      </c>
      <c r="G54" s="4">
        <f>F54+1</f>
        <v>2024</v>
      </c>
      <c r="H54" s="4">
        <f t="shared" ref="H54:O54" si="59">G54+1</f>
        <v>2025</v>
      </c>
      <c r="I54" s="4">
        <f t="shared" si="59"/>
        <v>2026</v>
      </c>
      <c r="J54" s="4">
        <f t="shared" si="59"/>
        <v>2027</v>
      </c>
      <c r="K54" s="4">
        <f t="shared" si="59"/>
        <v>2028</v>
      </c>
      <c r="L54" s="4">
        <f t="shared" si="59"/>
        <v>2029</v>
      </c>
      <c r="M54" s="4">
        <f t="shared" si="59"/>
        <v>2030</v>
      </c>
      <c r="N54" s="4">
        <f t="shared" si="59"/>
        <v>2031</v>
      </c>
      <c r="O54" s="36">
        <f t="shared" si="59"/>
        <v>2032</v>
      </c>
      <c r="P54" s="36">
        <f t="shared" ref="P54" si="60">O54+1</f>
        <v>2033</v>
      </c>
      <c r="Q54" s="36">
        <f t="shared" ref="Q54" si="61">P54+1</f>
        <v>2034</v>
      </c>
      <c r="R54" s="36">
        <f t="shared" ref="R54" si="62">Q54+1</f>
        <v>2035</v>
      </c>
      <c r="S54" s="36">
        <f t="shared" ref="S54" si="63">R54+1</f>
        <v>2036</v>
      </c>
      <c r="T54" s="36">
        <f t="shared" ref="T54" si="64">S54+1</f>
        <v>2037</v>
      </c>
      <c r="U54" s="36">
        <f t="shared" ref="U54" si="65">T54+1</f>
        <v>2038</v>
      </c>
      <c r="V54" s="36">
        <f t="shared" ref="V54" si="66">U54+1</f>
        <v>2039</v>
      </c>
      <c r="W54" s="36">
        <f t="shared" ref="W54" si="67">V54+1</f>
        <v>2040</v>
      </c>
      <c r="X54" s="36">
        <f t="shared" ref="X54" si="68">W54+1</f>
        <v>2041</v>
      </c>
      <c r="Y54" s="36">
        <f t="shared" ref="Y54" si="69">X54+1</f>
        <v>2042</v>
      </c>
      <c r="Z54" s="36">
        <f t="shared" ref="Z54" si="70">Y54+1</f>
        <v>2043</v>
      </c>
      <c r="AA54" s="36">
        <f t="shared" ref="AA54" si="71">Z54+1</f>
        <v>2044</v>
      </c>
      <c r="AB54" s="36">
        <f t="shared" ref="AB54" si="72">AA54+1</f>
        <v>2045</v>
      </c>
      <c r="AC54" s="36">
        <f t="shared" ref="AC54" si="73">AB54+1</f>
        <v>2046</v>
      </c>
      <c r="AD54" s="36">
        <f t="shared" ref="AD54" si="74">AC54+1</f>
        <v>2047</v>
      </c>
      <c r="AE54" s="36">
        <f t="shared" ref="AE54" si="75">AD54+1</f>
        <v>2048</v>
      </c>
      <c r="AF54" s="36">
        <f t="shared" ref="AF54" si="76">AE54+1</f>
        <v>2049</v>
      </c>
      <c r="AG54" s="36">
        <f t="shared" ref="AG54" si="77">AF54+1</f>
        <v>2050</v>
      </c>
      <c r="AH54" s="36">
        <f t="shared" ref="AH54" si="78">AG54+1</f>
        <v>2051</v>
      </c>
      <c r="AI54" s="36">
        <f t="shared" ref="AI54" si="79">AH54+1</f>
        <v>2052</v>
      </c>
    </row>
    <row r="55" spans="1:35" s="1" customFormat="1" ht="23.25" customHeight="1" thickBot="1" x14ac:dyDescent="0.25">
      <c r="A55" s="95" t="s">
        <v>36</v>
      </c>
      <c r="E55" s="66"/>
      <c r="F55" s="66">
        <v>0.05</v>
      </c>
      <c r="G55" s="66">
        <v>0.08</v>
      </c>
      <c r="H55" s="66">
        <v>0.11</v>
      </c>
      <c r="I55" s="66">
        <v>0.14000000000000001</v>
      </c>
      <c r="J55" s="66">
        <v>0.17</v>
      </c>
      <c r="K55" s="66">
        <v>0.2</v>
      </c>
      <c r="L55" s="66">
        <v>0.23</v>
      </c>
      <c r="M55" s="66">
        <v>0.26</v>
      </c>
      <c r="N55" s="66">
        <v>0.28999999999999998</v>
      </c>
      <c r="O55" s="24">
        <v>0.32</v>
      </c>
      <c r="P55" s="66">
        <v>0.35</v>
      </c>
      <c r="Q55" s="24">
        <v>0.38</v>
      </c>
      <c r="R55" s="66">
        <v>0.41</v>
      </c>
      <c r="S55" s="24">
        <v>0.44</v>
      </c>
      <c r="T55" s="66">
        <v>0.47</v>
      </c>
      <c r="U55" s="24">
        <v>0.5</v>
      </c>
      <c r="V55" s="66">
        <v>0.53</v>
      </c>
      <c r="W55" s="24">
        <v>0.56000000000000005</v>
      </c>
      <c r="X55" s="66">
        <v>0.59</v>
      </c>
      <c r="Y55" s="24">
        <v>0.62</v>
      </c>
      <c r="Z55" s="66">
        <v>0.65</v>
      </c>
      <c r="AA55" s="24">
        <v>0.68</v>
      </c>
      <c r="AB55" s="66">
        <v>0.71</v>
      </c>
      <c r="AC55" s="24">
        <v>0.74</v>
      </c>
      <c r="AD55" s="66">
        <v>0.77</v>
      </c>
      <c r="AE55" s="24">
        <v>0.8</v>
      </c>
      <c r="AF55" s="66">
        <v>0.83</v>
      </c>
      <c r="AG55" s="24">
        <v>0.86</v>
      </c>
      <c r="AH55" s="66">
        <v>0.89</v>
      </c>
      <c r="AI55" s="24">
        <v>0.92</v>
      </c>
    </row>
    <row r="56" spans="1:35" s="96" customFormat="1" ht="23.25" customHeight="1" thickBot="1" x14ac:dyDescent="0.3">
      <c r="A56" s="95" t="s">
        <v>71</v>
      </c>
      <c r="E56" s="97">
        <v>0.15</v>
      </c>
      <c r="F56" s="98"/>
      <c r="G56" s="98"/>
      <c r="H56" s="98"/>
      <c r="I56" s="98"/>
      <c r="J56" s="98"/>
      <c r="K56" s="98"/>
      <c r="L56" s="98"/>
      <c r="M56" s="98"/>
      <c r="N56" s="98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</row>
    <row r="57" spans="1:35" s="1" customFormat="1" ht="23.25" customHeight="1" thickBot="1" x14ac:dyDescent="0.3">
      <c r="A57" s="56" t="s">
        <v>16</v>
      </c>
      <c r="B57" s="57"/>
      <c r="C57" s="57"/>
      <c r="D57" s="57" t="s">
        <v>25</v>
      </c>
      <c r="E57" s="15">
        <f>E48*$E$56</f>
        <v>0</v>
      </c>
      <c r="F57" s="12">
        <f t="shared" ref="F57:O57" si="80">MIN(F48*$E$56,$E$29)</f>
        <v>0</v>
      </c>
      <c r="G57" s="12">
        <f t="shared" si="80"/>
        <v>5.1870000000000003</v>
      </c>
      <c r="H57" s="12">
        <f t="shared" si="80"/>
        <v>7.1190000000000007</v>
      </c>
      <c r="I57" s="12">
        <f t="shared" si="80"/>
        <v>9.0510000000000002</v>
      </c>
      <c r="J57" s="12">
        <f t="shared" si="80"/>
        <v>10.983000000000002</v>
      </c>
      <c r="K57" s="12">
        <f t="shared" si="80"/>
        <v>12.914999999999999</v>
      </c>
      <c r="L57" s="12">
        <f t="shared" si="80"/>
        <v>14.847000000000001</v>
      </c>
      <c r="M57" s="12">
        <f t="shared" si="80"/>
        <v>16.779</v>
      </c>
      <c r="N57" s="12">
        <f t="shared" si="80"/>
        <v>18.711000000000002</v>
      </c>
      <c r="O57" s="12">
        <f t="shared" si="80"/>
        <v>20.643000000000001</v>
      </c>
      <c r="P57" s="12">
        <f t="shared" ref="P57:W57" si="81">MIN(P48*$E$56,$E$29)</f>
        <v>22.574999999999999</v>
      </c>
      <c r="Q57" s="12">
        <f t="shared" si="81"/>
        <v>24.506999999999998</v>
      </c>
      <c r="R57" s="12">
        <f t="shared" si="81"/>
        <v>26.438999999999997</v>
      </c>
      <c r="S57" s="12">
        <f t="shared" si="81"/>
        <v>28.371000000000002</v>
      </c>
      <c r="T57" s="12">
        <f t="shared" si="81"/>
        <v>30.302999999999997</v>
      </c>
      <c r="U57" s="12">
        <f t="shared" si="81"/>
        <v>32.234999999999999</v>
      </c>
      <c r="V57" s="12">
        <f t="shared" si="81"/>
        <v>34.167000000000002</v>
      </c>
      <c r="W57" s="12">
        <f t="shared" si="81"/>
        <v>36.099000000000004</v>
      </c>
      <c r="X57" s="12">
        <f t="shared" ref="X57:Y57" si="82">MIN(X48*$E$56,$E$29)</f>
        <v>38</v>
      </c>
      <c r="Y57" s="12">
        <f t="shared" si="82"/>
        <v>38</v>
      </c>
      <c r="Z57" s="12">
        <f t="shared" ref="Z57:AA57" si="83">MIN(Z48*$E$56,$E$29)</f>
        <v>38</v>
      </c>
      <c r="AA57" s="12">
        <f t="shared" si="83"/>
        <v>38</v>
      </c>
      <c r="AB57" s="12">
        <f t="shared" ref="AB57:AI57" si="84">MIN(AB48*$E$56,$E$29)</f>
        <v>38</v>
      </c>
      <c r="AC57" s="12">
        <f t="shared" si="84"/>
        <v>38</v>
      </c>
      <c r="AD57" s="12">
        <f t="shared" si="84"/>
        <v>38</v>
      </c>
      <c r="AE57" s="12">
        <f t="shared" si="84"/>
        <v>38</v>
      </c>
      <c r="AF57" s="12">
        <f t="shared" si="84"/>
        <v>38</v>
      </c>
      <c r="AG57" s="12">
        <f t="shared" si="84"/>
        <v>38</v>
      </c>
      <c r="AH57" s="12">
        <f t="shared" si="84"/>
        <v>38</v>
      </c>
      <c r="AI57" s="12">
        <f t="shared" si="84"/>
        <v>38</v>
      </c>
    </row>
    <row r="58" spans="1:35" s="1" customFormat="1" x14ac:dyDescent="0.25">
      <c r="A58" s="157" t="s">
        <v>136</v>
      </c>
      <c r="B58" s="60"/>
      <c r="C58" s="60"/>
      <c r="D58" s="57" t="s">
        <v>23</v>
      </c>
      <c r="E58" s="16">
        <f>E49*$E$56</f>
        <v>0</v>
      </c>
      <c r="F58" s="13">
        <f t="shared" ref="F58:O60" si="85">F49*$E$56</f>
        <v>0</v>
      </c>
      <c r="G58" s="9">
        <f>G49*0.9</f>
        <v>1.8900000000000001</v>
      </c>
      <c r="H58" s="9">
        <f t="shared" ref="H58:AI58" si="86">H49*0.9</f>
        <v>2.5200000000000005</v>
      </c>
      <c r="I58" s="9">
        <f t="shared" si="86"/>
        <v>3.15</v>
      </c>
      <c r="J58" s="9">
        <f t="shared" si="86"/>
        <v>3.7800000000000002</v>
      </c>
      <c r="K58" s="9">
        <f t="shared" si="86"/>
        <v>4.4099999999999993</v>
      </c>
      <c r="L58" s="9">
        <f t="shared" si="86"/>
        <v>5.0400000000000009</v>
      </c>
      <c r="M58" s="9">
        <f t="shared" si="86"/>
        <v>5.67</v>
      </c>
      <c r="N58" s="9">
        <f t="shared" si="86"/>
        <v>6.3</v>
      </c>
      <c r="O58" s="9">
        <f t="shared" si="86"/>
        <v>6.9300000000000015</v>
      </c>
      <c r="P58" s="9">
        <f t="shared" si="86"/>
        <v>7.5600000000000005</v>
      </c>
      <c r="Q58" s="9">
        <f t="shared" si="86"/>
        <v>8.19</v>
      </c>
      <c r="R58" s="9">
        <f t="shared" si="86"/>
        <v>8.8199999999999985</v>
      </c>
      <c r="S58" s="9">
        <f t="shared" si="86"/>
        <v>9.4500000000000011</v>
      </c>
      <c r="T58" s="9">
        <f t="shared" si="86"/>
        <v>10.080000000000002</v>
      </c>
      <c r="U58" s="9">
        <f t="shared" si="86"/>
        <v>10.71</v>
      </c>
      <c r="V58" s="9">
        <f t="shared" si="86"/>
        <v>11.34</v>
      </c>
      <c r="W58" s="9">
        <f t="shared" si="86"/>
        <v>11.969999999999999</v>
      </c>
      <c r="X58" s="9">
        <f t="shared" si="86"/>
        <v>12.6</v>
      </c>
      <c r="Y58" s="9">
        <f t="shared" si="86"/>
        <v>12.6</v>
      </c>
      <c r="Z58" s="9">
        <f t="shared" si="86"/>
        <v>12.6</v>
      </c>
      <c r="AA58" s="9">
        <f t="shared" si="86"/>
        <v>12.6</v>
      </c>
      <c r="AB58" s="9">
        <f t="shared" si="86"/>
        <v>12.6</v>
      </c>
      <c r="AC58" s="9">
        <f t="shared" si="86"/>
        <v>12.6</v>
      </c>
      <c r="AD58" s="9">
        <f t="shared" si="86"/>
        <v>12.6</v>
      </c>
      <c r="AE58" s="9">
        <f t="shared" si="86"/>
        <v>12.6</v>
      </c>
      <c r="AF58" s="9">
        <f t="shared" si="86"/>
        <v>12.6</v>
      </c>
      <c r="AG58" s="9">
        <f t="shared" si="86"/>
        <v>12.6</v>
      </c>
      <c r="AH58" s="9">
        <f t="shared" si="86"/>
        <v>12.6</v>
      </c>
      <c r="AI58" s="9">
        <f t="shared" si="86"/>
        <v>12.6</v>
      </c>
    </row>
    <row r="59" spans="1:35" s="1" customFormat="1" ht="23.25" customHeight="1" x14ac:dyDescent="0.25">
      <c r="A59" s="157" t="s">
        <v>55</v>
      </c>
      <c r="B59" s="60"/>
      <c r="C59" s="60"/>
      <c r="D59" s="57" t="s">
        <v>21</v>
      </c>
      <c r="E59" s="17">
        <f>E50*$E$56</f>
        <v>0</v>
      </c>
      <c r="F59" s="14">
        <f t="shared" si="85"/>
        <v>0</v>
      </c>
      <c r="G59" s="3">
        <f t="shared" si="85"/>
        <v>2.4360000000000004</v>
      </c>
      <c r="H59" s="3">
        <f t="shared" si="85"/>
        <v>3.3495000000000004</v>
      </c>
      <c r="I59" s="3">
        <f>I50*$E$56</f>
        <v>4.2629999999999999</v>
      </c>
      <c r="J59" s="3">
        <f t="shared" si="85"/>
        <v>5.1765000000000008</v>
      </c>
      <c r="K59" s="3">
        <f t="shared" si="85"/>
        <v>6.09</v>
      </c>
      <c r="L59" s="3">
        <f t="shared" si="85"/>
        <v>7.0035000000000007</v>
      </c>
      <c r="M59" s="3">
        <f t="shared" si="85"/>
        <v>7.9169999999999998</v>
      </c>
      <c r="N59" s="3">
        <f t="shared" si="85"/>
        <v>8.8304999999999989</v>
      </c>
      <c r="O59" s="27">
        <f t="shared" si="85"/>
        <v>9.7440000000000015</v>
      </c>
      <c r="P59" s="27">
        <f t="shared" ref="P59:W59" si="87">P50*$E$56</f>
        <v>10.657499999999999</v>
      </c>
      <c r="Q59" s="27">
        <f t="shared" si="87"/>
        <v>11.571</v>
      </c>
      <c r="R59" s="27">
        <f t="shared" si="87"/>
        <v>12.484499999999999</v>
      </c>
      <c r="S59" s="27">
        <f t="shared" si="87"/>
        <v>13.398000000000001</v>
      </c>
      <c r="T59" s="27">
        <f t="shared" si="87"/>
        <v>14.311499999999999</v>
      </c>
      <c r="U59" s="27">
        <f t="shared" si="87"/>
        <v>15.225</v>
      </c>
      <c r="V59" s="27">
        <f t="shared" si="87"/>
        <v>16.138500000000001</v>
      </c>
      <c r="W59" s="27">
        <f t="shared" si="87"/>
        <v>17.052</v>
      </c>
      <c r="X59" s="27">
        <f t="shared" ref="X59:Y59" si="88">X50*$E$56</f>
        <v>17.965499999999999</v>
      </c>
      <c r="Y59" s="27">
        <f t="shared" si="88"/>
        <v>18.878999999999998</v>
      </c>
      <c r="Z59" s="27">
        <f t="shared" ref="Z59:AA59" si="89">Z50*$E$56</f>
        <v>19.7925</v>
      </c>
      <c r="AA59" s="27">
        <f t="shared" si="89"/>
        <v>20.706000000000003</v>
      </c>
      <c r="AB59" s="27">
        <f t="shared" ref="AB59:AI59" si="90">AB50*$E$56</f>
        <v>21.619499999999999</v>
      </c>
      <c r="AC59" s="27">
        <f t="shared" si="90"/>
        <v>22.532999999999998</v>
      </c>
      <c r="AD59" s="27">
        <f t="shared" si="90"/>
        <v>23.4465</v>
      </c>
      <c r="AE59" s="27">
        <f t="shared" si="90"/>
        <v>24.36</v>
      </c>
      <c r="AF59" s="27">
        <f t="shared" si="90"/>
        <v>25.273499999999995</v>
      </c>
      <c r="AG59" s="27">
        <f t="shared" si="90"/>
        <v>26.186999999999998</v>
      </c>
      <c r="AH59" s="27">
        <f t="shared" si="90"/>
        <v>27.1005</v>
      </c>
      <c r="AI59" s="27">
        <f t="shared" si="90"/>
        <v>28.014000000000003</v>
      </c>
    </row>
    <row r="60" spans="1:35" s="1" customFormat="1" ht="25.5" thickBot="1" x14ac:dyDescent="0.3">
      <c r="A60" s="157" t="s">
        <v>56</v>
      </c>
      <c r="B60" s="60"/>
      <c r="C60" s="60"/>
      <c r="D60" s="57" t="s">
        <v>24</v>
      </c>
      <c r="E60" s="82">
        <f>E51*$E$56</f>
        <v>0</v>
      </c>
      <c r="F60" s="83">
        <f t="shared" si="85"/>
        <v>0</v>
      </c>
      <c r="G60" s="84">
        <f t="shared" si="85"/>
        <v>2.4360000000000004</v>
      </c>
      <c r="H60" s="84">
        <f t="shared" si="85"/>
        <v>3.3495000000000004</v>
      </c>
      <c r="I60" s="84">
        <f t="shared" si="85"/>
        <v>4.2629999999999999</v>
      </c>
      <c r="J60" s="84">
        <f t="shared" si="85"/>
        <v>5.1765000000000008</v>
      </c>
      <c r="K60" s="84">
        <f t="shared" si="85"/>
        <v>6.09</v>
      </c>
      <c r="L60" s="84">
        <f t="shared" si="85"/>
        <v>7.0035000000000007</v>
      </c>
      <c r="M60" s="84">
        <f t="shared" si="85"/>
        <v>7.9169999999999998</v>
      </c>
      <c r="N60" s="84">
        <f t="shared" si="85"/>
        <v>8.8304999999999989</v>
      </c>
      <c r="O60" s="85">
        <f t="shared" si="85"/>
        <v>9.7440000000000015</v>
      </c>
      <c r="P60" s="85">
        <f t="shared" ref="P60:W60" si="91">P51*$E$56</f>
        <v>10.657499999999999</v>
      </c>
      <c r="Q60" s="85">
        <f t="shared" si="91"/>
        <v>11.571</v>
      </c>
      <c r="R60" s="85">
        <f t="shared" si="91"/>
        <v>12.484499999999999</v>
      </c>
      <c r="S60" s="85">
        <f t="shared" si="91"/>
        <v>13.398000000000001</v>
      </c>
      <c r="T60" s="85">
        <f t="shared" si="91"/>
        <v>14.311499999999999</v>
      </c>
      <c r="U60" s="85">
        <f t="shared" si="91"/>
        <v>15.225</v>
      </c>
      <c r="V60" s="85">
        <f t="shared" si="91"/>
        <v>16.138500000000001</v>
      </c>
      <c r="W60" s="85">
        <f t="shared" si="91"/>
        <v>17.052</v>
      </c>
      <c r="X60" s="85">
        <f t="shared" ref="X60:Y60" si="92">X51*$E$56</f>
        <v>17.965499999999999</v>
      </c>
      <c r="Y60" s="85">
        <f t="shared" si="92"/>
        <v>18.878999999999998</v>
      </c>
      <c r="Z60" s="85">
        <f t="shared" ref="Z60:AA60" si="93">Z51*$E$56</f>
        <v>19.7925</v>
      </c>
      <c r="AA60" s="85">
        <f t="shared" si="93"/>
        <v>20.706000000000003</v>
      </c>
      <c r="AB60" s="85">
        <f t="shared" ref="AB60:AI60" si="94">AB51*$E$56</f>
        <v>21.619499999999999</v>
      </c>
      <c r="AC60" s="85">
        <f t="shared" si="94"/>
        <v>22.532999999999998</v>
      </c>
      <c r="AD60" s="85">
        <f t="shared" si="94"/>
        <v>23.4465</v>
      </c>
      <c r="AE60" s="85">
        <f t="shared" si="94"/>
        <v>24.36</v>
      </c>
      <c r="AF60" s="85">
        <f t="shared" si="94"/>
        <v>25.273499999999995</v>
      </c>
      <c r="AG60" s="85">
        <f t="shared" si="94"/>
        <v>26.186999999999998</v>
      </c>
      <c r="AH60" s="85">
        <f t="shared" si="94"/>
        <v>27.1005</v>
      </c>
      <c r="AI60" s="85">
        <f t="shared" si="94"/>
        <v>28.014000000000003</v>
      </c>
    </row>
    <row r="61" spans="1:35" s="1" customFormat="1" ht="23.25" customHeight="1" x14ac:dyDescent="0.2">
      <c r="A61" s="107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</row>
    <row r="62" spans="1:35" s="1" customFormat="1" ht="23.25" customHeight="1" x14ac:dyDescent="0.25">
      <c r="A62" s="87" t="s">
        <v>45</v>
      </c>
      <c r="B62" s="109"/>
      <c r="C62" s="109"/>
      <c r="D62" s="70"/>
      <c r="E62" s="70"/>
      <c r="F62" s="110"/>
      <c r="G62" s="111"/>
      <c r="H62" s="110"/>
      <c r="I62" s="110"/>
      <c r="J62" s="110"/>
      <c r="K62" s="110"/>
      <c r="L62" s="110"/>
      <c r="M62" s="110"/>
      <c r="N62" s="110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</row>
    <row r="63" spans="1:35" s="1" customFormat="1" ht="23.25" customHeight="1" x14ac:dyDescent="0.2">
      <c r="A63" s="23" t="s">
        <v>34</v>
      </c>
      <c r="E63" s="8">
        <v>6.5</v>
      </c>
      <c r="F63" s="66"/>
      <c r="G63" s="66"/>
      <c r="H63" s="66"/>
      <c r="I63" s="66"/>
      <c r="J63" s="66"/>
      <c r="K63" s="66"/>
      <c r="L63" s="66"/>
      <c r="M63" s="66"/>
      <c r="N63" s="66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s="1" customFormat="1" ht="29.25" customHeight="1" x14ac:dyDescent="0.2">
      <c r="A64" s="35"/>
      <c r="E64" s="66"/>
      <c r="F64" s="4">
        <v>2023</v>
      </c>
      <c r="G64" s="4">
        <f>F64+1</f>
        <v>2024</v>
      </c>
      <c r="H64" s="4">
        <f t="shared" ref="H64:O64" si="95">G64+1</f>
        <v>2025</v>
      </c>
      <c r="I64" s="4">
        <f t="shared" si="95"/>
        <v>2026</v>
      </c>
      <c r="J64" s="4">
        <f t="shared" si="95"/>
        <v>2027</v>
      </c>
      <c r="K64" s="4">
        <f t="shared" si="95"/>
        <v>2028</v>
      </c>
      <c r="L64" s="4">
        <f t="shared" si="95"/>
        <v>2029</v>
      </c>
      <c r="M64" s="4">
        <f t="shared" si="95"/>
        <v>2030</v>
      </c>
      <c r="N64" s="4">
        <f t="shared" si="95"/>
        <v>2031</v>
      </c>
      <c r="O64" s="36">
        <f t="shared" si="95"/>
        <v>2032</v>
      </c>
      <c r="P64" s="36">
        <f t="shared" ref="P64" si="96">O64+1</f>
        <v>2033</v>
      </c>
      <c r="Q64" s="36">
        <f t="shared" ref="Q64" si="97">P64+1</f>
        <v>2034</v>
      </c>
      <c r="R64" s="36">
        <f t="shared" ref="R64" si="98">Q64+1</f>
        <v>2035</v>
      </c>
      <c r="S64" s="36">
        <f t="shared" ref="S64" si="99">R64+1</f>
        <v>2036</v>
      </c>
      <c r="T64" s="36">
        <f t="shared" ref="T64" si="100">S64+1</f>
        <v>2037</v>
      </c>
      <c r="U64" s="36">
        <f t="shared" ref="U64" si="101">T64+1</f>
        <v>2038</v>
      </c>
      <c r="V64" s="36">
        <f t="shared" ref="V64" si="102">U64+1</f>
        <v>2039</v>
      </c>
      <c r="W64" s="36">
        <f t="shared" ref="W64" si="103">V64+1</f>
        <v>2040</v>
      </c>
      <c r="X64" s="36">
        <f t="shared" ref="X64" si="104">W64+1</f>
        <v>2041</v>
      </c>
      <c r="Y64" s="36">
        <f t="shared" ref="Y64" si="105">X64+1</f>
        <v>2042</v>
      </c>
      <c r="Z64" s="36">
        <f t="shared" ref="Z64" si="106">Y64+1</f>
        <v>2043</v>
      </c>
      <c r="AA64" s="36">
        <f t="shared" ref="AA64" si="107">Z64+1</f>
        <v>2044</v>
      </c>
      <c r="AB64" s="36">
        <f t="shared" ref="AB64" si="108">AA64+1</f>
        <v>2045</v>
      </c>
      <c r="AC64" s="36">
        <f t="shared" ref="AC64" si="109">AB64+1</f>
        <v>2046</v>
      </c>
      <c r="AD64" s="36">
        <f t="shared" ref="AD64" si="110">AC64+1</f>
        <v>2047</v>
      </c>
      <c r="AE64" s="36">
        <f t="shared" ref="AE64" si="111">AD64+1</f>
        <v>2048</v>
      </c>
      <c r="AF64" s="36">
        <f t="shared" ref="AF64" si="112">AE64+1</f>
        <v>2049</v>
      </c>
      <c r="AG64" s="36">
        <f t="shared" ref="AG64" si="113">AF64+1</f>
        <v>2050</v>
      </c>
      <c r="AH64" s="36">
        <f t="shared" ref="AH64" si="114">AG64+1</f>
        <v>2051</v>
      </c>
      <c r="AI64" s="36">
        <f t="shared" ref="AI64" si="115">AH64+1</f>
        <v>2052</v>
      </c>
    </row>
    <row r="65" spans="1:35" s="5" customFormat="1" ht="17.25" customHeight="1" thickBot="1" x14ac:dyDescent="0.25">
      <c r="A65" s="23" t="s">
        <v>19</v>
      </c>
      <c r="B65" s="1"/>
      <c r="C65" s="1"/>
      <c r="D65" s="1"/>
      <c r="E65" s="66"/>
      <c r="F65" s="66">
        <v>0.05</v>
      </c>
      <c r="G65" s="66">
        <v>0.08</v>
      </c>
      <c r="H65" s="66">
        <v>0.11</v>
      </c>
      <c r="I65" s="66">
        <v>0.14000000000000001</v>
      </c>
      <c r="J65" s="66">
        <v>0.17</v>
      </c>
      <c r="K65" s="66">
        <v>0.2</v>
      </c>
      <c r="L65" s="66">
        <v>0.23</v>
      </c>
      <c r="M65" s="66">
        <v>0.26</v>
      </c>
      <c r="N65" s="66">
        <v>0.28999999999999998</v>
      </c>
      <c r="O65" s="24">
        <v>0.32</v>
      </c>
      <c r="P65" s="66">
        <v>0.35</v>
      </c>
      <c r="Q65" s="24">
        <v>0.38</v>
      </c>
      <c r="R65" s="66">
        <v>0.41</v>
      </c>
      <c r="S65" s="24">
        <v>0.44</v>
      </c>
      <c r="T65" s="66">
        <v>0.47</v>
      </c>
      <c r="U65" s="24">
        <v>0.5</v>
      </c>
      <c r="V65" s="66">
        <v>0.53</v>
      </c>
      <c r="W65" s="24">
        <v>0.56000000000000005</v>
      </c>
      <c r="X65" s="66">
        <v>0.59</v>
      </c>
      <c r="Y65" s="24">
        <v>0.62</v>
      </c>
      <c r="Z65" s="66">
        <v>0.65</v>
      </c>
      <c r="AA65" s="24">
        <v>0.68</v>
      </c>
      <c r="AB65" s="66">
        <v>0.71</v>
      </c>
      <c r="AC65" s="24">
        <v>0.74</v>
      </c>
      <c r="AD65" s="66">
        <v>0.77</v>
      </c>
      <c r="AE65" s="24">
        <v>0.8</v>
      </c>
      <c r="AF65" s="66">
        <v>0.83</v>
      </c>
      <c r="AG65" s="24">
        <v>0.86</v>
      </c>
      <c r="AH65" s="66">
        <v>0.89</v>
      </c>
      <c r="AI65" s="24">
        <v>0.92</v>
      </c>
    </row>
    <row r="66" spans="1:35" s="1" customFormat="1" ht="23.25" customHeight="1" x14ac:dyDescent="0.2">
      <c r="A66" s="35"/>
      <c r="E66" s="262" t="s">
        <v>28</v>
      </c>
      <c r="F66" s="5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</row>
    <row r="67" spans="1:35" s="1" customFormat="1" ht="23.25" customHeight="1" thickBot="1" x14ac:dyDescent="0.25">
      <c r="A67" s="23"/>
      <c r="B67" s="5"/>
      <c r="C67" s="5"/>
      <c r="D67" s="5"/>
      <c r="E67" s="263"/>
      <c r="G67" s="5"/>
      <c r="H67" s="5"/>
      <c r="I67" s="5"/>
      <c r="J67" s="5"/>
      <c r="K67" s="5"/>
      <c r="L67" s="5"/>
      <c r="M67" s="5"/>
      <c r="N67" s="5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</row>
    <row r="68" spans="1:35" s="1" customFormat="1" ht="23.25" customHeight="1" thickBot="1" x14ac:dyDescent="0.3">
      <c r="A68" s="56" t="s">
        <v>61</v>
      </c>
      <c r="B68" s="61"/>
      <c r="C68" s="61"/>
      <c r="D68" s="57"/>
      <c r="E68" s="149">
        <f>SUM(E69:E71)</f>
        <v>12.5</v>
      </c>
      <c r="F68" s="100">
        <f>MIN(SUM(F69:F71),($E$68*$E$63*$E$29))</f>
        <v>0</v>
      </c>
      <c r="G68" s="100">
        <f t="shared" ref="G68:O68" si="116">MIN(SUM(G69:G71),($E$68*$E$63*$E$29))</f>
        <v>176.63100000000003</v>
      </c>
      <c r="H68" s="100">
        <f t="shared" si="116"/>
        <v>239.79637500000001</v>
      </c>
      <c r="I68" s="100">
        <f t="shared" si="116"/>
        <v>302.96174999999999</v>
      </c>
      <c r="J68" s="100">
        <f t="shared" si="116"/>
        <v>366.12712500000004</v>
      </c>
      <c r="K68" s="100">
        <f t="shared" si="116"/>
        <v>429.29249999999996</v>
      </c>
      <c r="L68" s="100">
        <f t="shared" si="116"/>
        <v>492.45787500000006</v>
      </c>
      <c r="M68" s="100">
        <f t="shared" si="116"/>
        <v>555.62324999999998</v>
      </c>
      <c r="N68" s="100">
        <f t="shared" si="116"/>
        <v>618.78862499999991</v>
      </c>
      <c r="O68" s="100">
        <f t="shared" si="116"/>
        <v>681.95400000000006</v>
      </c>
      <c r="P68" s="100">
        <f t="shared" ref="P68:W68" si="117">MIN(SUM(P69:P71),($E$68*$E$63*$E$29))</f>
        <v>745.11937499999999</v>
      </c>
      <c r="Q68" s="100">
        <f t="shared" si="117"/>
        <v>808.28475000000003</v>
      </c>
      <c r="R68" s="100">
        <f t="shared" si="117"/>
        <v>871.45012499999996</v>
      </c>
      <c r="S68" s="100">
        <f t="shared" si="117"/>
        <v>934.61550000000011</v>
      </c>
      <c r="T68" s="100">
        <f t="shared" si="117"/>
        <v>997.78087500000004</v>
      </c>
      <c r="U68" s="100">
        <f t="shared" si="117"/>
        <v>1060.94625</v>
      </c>
      <c r="V68" s="100">
        <f t="shared" si="117"/>
        <v>1124.111625</v>
      </c>
      <c r="W68" s="100">
        <f t="shared" si="117"/>
        <v>1187.2769999999998</v>
      </c>
      <c r="X68" s="100">
        <f t="shared" ref="X68:Y68" si="118">MIN(SUM(X69:X71),($E$68*$E$63*$E$29))</f>
        <v>1250.4423749999999</v>
      </c>
      <c r="Y68" s="100">
        <f t="shared" si="118"/>
        <v>1289.03775</v>
      </c>
      <c r="Z68" s="100">
        <f t="shared" ref="Z68:AA68" si="119">MIN(SUM(Z69:Z71),($E$68*$E$63*$E$29))</f>
        <v>1327.6331250000001</v>
      </c>
      <c r="AA68" s="100">
        <f t="shared" si="119"/>
        <v>1366.2285000000002</v>
      </c>
      <c r="AB68" s="100">
        <f t="shared" ref="AB68:AI68" si="120">MIN(SUM(AB69:AB71),($E$68*$E$63*$E$29))</f>
        <v>1404.823875</v>
      </c>
      <c r="AC68" s="100">
        <f t="shared" si="120"/>
        <v>1443.4192499999997</v>
      </c>
      <c r="AD68" s="100">
        <f t="shared" si="120"/>
        <v>1482.014625</v>
      </c>
      <c r="AE68" s="100">
        <f t="shared" si="120"/>
        <v>1520.61</v>
      </c>
      <c r="AF68" s="100">
        <f t="shared" si="120"/>
        <v>1559.205375</v>
      </c>
      <c r="AG68" s="100">
        <f t="shared" si="120"/>
        <v>1597.8007499999999</v>
      </c>
      <c r="AH68" s="100">
        <f t="shared" si="120"/>
        <v>1636.396125</v>
      </c>
      <c r="AI68" s="100">
        <f t="shared" si="120"/>
        <v>1674.9915000000001</v>
      </c>
    </row>
    <row r="69" spans="1:35" s="1" customFormat="1" ht="23.25" customHeight="1" x14ac:dyDescent="0.25">
      <c r="A69" s="56" t="s">
        <v>138</v>
      </c>
      <c r="B69" s="61"/>
      <c r="C69" s="61"/>
      <c r="D69" s="63" t="s">
        <v>26</v>
      </c>
      <c r="E69" s="150">
        <v>6</v>
      </c>
      <c r="F69" s="13">
        <f t="shared" ref="F69:O69" si="121">($E$63*$E$69*F58)*$E$19</f>
        <v>0</v>
      </c>
      <c r="G69" s="13">
        <f t="shared" si="121"/>
        <v>73.710000000000008</v>
      </c>
      <c r="H69" s="13">
        <f t="shared" si="121"/>
        <v>98.280000000000015</v>
      </c>
      <c r="I69" s="13">
        <f t="shared" si="121"/>
        <v>122.85</v>
      </c>
      <c r="J69" s="13">
        <f t="shared" si="121"/>
        <v>147.42000000000002</v>
      </c>
      <c r="K69" s="13">
        <f t="shared" si="121"/>
        <v>171.98999999999998</v>
      </c>
      <c r="L69" s="13">
        <f t="shared" si="121"/>
        <v>196.56000000000003</v>
      </c>
      <c r="M69" s="13">
        <f t="shared" si="121"/>
        <v>221.13</v>
      </c>
      <c r="N69" s="13">
        <f t="shared" si="121"/>
        <v>245.7</v>
      </c>
      <c r="O69" s="13">
        <f t="shared" si="121"/>
        <v>270.27000000000004</v>
      </c>
      <c r="P69" s="13">
        <f t="shared" ref="P69:W69" si="122">($E$63*$E$69*P58)*$E$19</f>
        <v>294.84000000000003</v>
      </c>
      <c r="Q69" s="13">
        <f t="shared" si="122"/>
        <v>319.40999999999997</v>
      </c>
      <c r="R69" s="13">
        <f t="shared" si="122"/>
        <v>343.97999999999996</v>
      </c>
      <c r="S69" s="13">
        <f t="shared" si="122"/>
        <v>368.55000000000007</v>
      </c>
      <c r="T69" s="13">
        <f t="shared" si="122"/>
        <v>393.12000000000006</v>
      </c>
      <c r="U69" s="13">
        <f t="shared" si="122"/>
        <v>417.69000000000005</v>
      </c>
      <c r="V69" s="13">
        <f t="shared" si="122"/>
        <v>442.26</v>
      </c>
      <c r="W69" s="13">
        <f t="shared" si="122"/>
        <v>466.82999999999993</v>
      </c>
      <c r="X69" s="13">
        <f t="shared" ref="X69:Y69" si="123">($E$63*$E$69*X58)*$E$19</f>
        <v>491.4</v>
      </c>
      <c r="Y69" s="13">
        <f t="shared" si="123"/>
        <v>491.4</v>
      </c>
      <c r="Z69" s="13">
        <f t="shared" ref="Z69:AA69" si="124">($E$63*$E$69*Z58)*$E$19</f>
        <v>491.4</v>
      </c>
      <c r="AA69" s="13">
        <f t="shared" si="124"/>
        <v>491.4</v>
      </c>
      <c r="AB69" s="13">
        <f t="shared" ref="AB69:AI69" si="125">($E$63*$E$69*AB58)*$E$19</f>
        <v>491.4</v>
      </c>
      <c r="AC69" s="13">
        <f t="shared" si="125"/>
        <v>491.4</v>
      </c>
      <c r="AD69" s="13">
        <f t="shared" si="125"/>
        <v>491.4</v>
      </c>
      <c r="AE69" s="13">
        <f t="shared" si="125"/>
        <v>491.4</v>
      </c>
      <c r="AF69" s="13">
        <f t="shared" si="125"/>
        <v>491.4</v>
      </c>
      <c r="AG69" s="13">
        <f t="shared" si="125"/>
        <v>491.4</v>
      </c>
      <c r="AH69" s="13">
        <f t="shared" si="125"/>
        <v>491.4</v>
      </c>
      <c r="AI69" s="13">
        <f t="shared" si="125"/>
        <v>491.4</v>
      </c>
    </row>
    <row r="70" spans="1:35" s="1" customFormat="1" ht="23.25" customHeight="1" x14ac:dyDescent="0.25">
      <c r="A70" s="56" t="s">
        <v>59</v>
      </c>
      <c r="B70" s="61"/>
      <c r="C70" s="61"/>
      <c r="D70" s="63" t="s">
        <v>27</v>
      </c>
      <c r="E70" s="150">
        <v>4</v>
      </c>
      <c r="F70" s="13">
        <f t="shared" ref="F70:O70" si="126">($E$63*$E$70*F59)*$E$19</f>
        <v>0</v>
      </c>
      <c r="G70" s="13">
        <f t="shared" si="126"/>
        <v>63.336000000000013</v>
      </c>
      <c r="H70" s="13">
        <f t="shared" si="126"/>
        <v>87.087000000000003</v>
      </c>
      <c r="I70" s="13">
        <f t="shared" si="126"/>
        <v>110.83799999999999</v>
      </c>
      <c r="J70" s="13">
        <f t="shared" si="126"/>
        <v>134.58900000000003</v>
      </c>
      <c r="K70" s="13">
        <f t="shared" si="126"/>
        <v>158.34</v>
      </c>
      <c r="L70" s="13">
        <f t="shared" si="126"/>
        <v>182.09100000000001</v>
      </c>
      <c r="M70" s="13">
        <f t="shared" si="126"/>
        <v>205.84199999999998</v>
      </c>
      <c r="N70" s="13">
        <f t="shared" si="126"/>
        <v>229.59299999999996</v>
      </c>
      <c r="O70" s="13">
        <f t="shared" si="126"/>
        <v>253.34400000000005</v>
      </c>
      <c r="P70" s="13">
        <f t="shared" ref="P70:W70" si="127">($E$63*$E$70*P59)*$E$19</f>
        <v>277.09499999999997</v>
      </c>
      <c r="Q70" s="13">
        <f t="shared" si="127"/>
        <v>300.846</v>
      </c>
      <c r="R70" s="13">
        <f t="shared" si="127"/>
        <v>324.59699999999998</v>
      </c>
      <c r="S70" s="13">
        <f t="shared" si="127"/>
        <v>348.34800000000001</v>
      </c>
      <c r="T70" s="13">
        <f t="shared" si="127"/>
        <v>372.09899999999999</v>
      </c>
      <c r="U70" s="13">
        <f t="shared" si="127"/>
        <v>395.84999999999997</v>
      </c>
      <c r="V70" s="13">
        <f t="shared" si="127"/>
        <v>419.601</v>
      </c>
      <c r="W70" s="13">
        <f t="shared" si="127"/>
        <v>443.35199999999998</v>
      </c>
      <c r="X70" s="13">
        <f t="shared" ref="X70:Y70" si="128">($E$63*$E$70*X59)*$E$19</f>
        <v>467.10299999999995</v>
      </c>
      <c r="Y70" s="13">
        <f t="shared" si="128"/>
        <v>490.85399999999993</v>
      </c>
      <c r="Z70" s="13">
        <f t="shared" ref="Z70:AA70" si="129">($E$63*$E$70*Z59)*$E$19</f>
        <v>514.60500000000002</v>
      </c>
      <c r="AA70" s="13">
        <f t="shared" si="129"/>
        <v>538.35600000000011</v>
      </c>
      <c r="AB70" s="13">
        <f t="shared" ref="AB70:AI70" si="130">($E$63*$E$70*AB59)*$E$19</f>
        <v>562.10699999999997</v>
      </c>
      <c r="AC70" s="13">
        <f t="shared" si="130"/>
        <v>585.85799999999995</v>
      </c>
      <c r="AD70" s="13">
        <f t="shared" si="130"/>
        <v>609.60900000000004</v>
      </c>
      <c r="AE70" s="13">
        <f t="shared" si="130"/>
        <v>633.36</v>
      </c>
      <c r="AF70" s="13">
        <f t="shared" si="130"/>
        <v>657.11099999999988</v>
      </c>
      <c r="AG70" s="13">
        <f t="shared" si="130"/>
        <v>680.86199999999997</v>
      </c>
      <c r="AH70" s="13">
        <f t="shared" si="130"/>
        <v>704.61300000000006</v>
      </c>
      <c r="AI70" s="13">
        <f t="shared" si="130"/>
        <v>728.36400000000003</v>
      </c>
    </row>
    <row r="71" spans="1:35" s="5" customFormat="1" ht="23.25" customHeight="1" thickBot="1" x14ac:dyDescent="0.3">
      <c r="A71" s="56" t="s">
        <v>60</v>
      </c>
      <c r="B71" s="61"/>
      <c r="C71" s="61"/>
      <c r="D71" s="81" t="s">
        <v>29</v>
      </c>
      <c r="E71" s="150">
        <v>2.5</v>
      </c>
      <c r="F71" s="13">
        <f t="shared" ref="F71:O71" si="131">($E$63*$E$71*F60)*$E$19</f>
        <v>0</v>
      </c>
      <c r="G71" s="13">
        <f t="shared" si="131"/>
        <v>39.585000000000008</v>
      </c>
      <c r="H71" s="13">
        <f t="shared" si="131"/>
        <v>54.429375000000007</v>
      </c>
      <c r="I71" s="13">
        <f t="shared" si="131"/>
        <v>69.273749999999993</v>
      </c>
      <c r="J71" s="13">
        <f t="shared" si="131"/>
        <v>84.118125000000006</v>
      </c>
      <c r="K71" s="13">
        <f t="shared" si="131"/>
        <v>98.962499999999991</v>
      </c>
      <c r="L71" s="13">
        <f t="shared" si="131"/>
        <v>113.80687500000001</v>
      </c>
      <c r="M71" s="13">
        <f t="shared" si="131"/>
        <v>128.65125</v>
      </c>
      <c r="N71" s="13">
        <f t="shared" si="131"/>
        <v>143.49562499999999</v>
      </c>
      <c r="O71" s="13">
        <f t="shared" si="131"/>
        <v>158.34000000000003</v>
      </c>
      <c r="P71" s="13">
        <f t="shared" ref="P71:W71" si="132">($E$63*$E$71*P60)*$E$19</f>
        <v>173.18437499999999</v>
      </c>
      <c r="Q71" s="13">
        <f t="shared" si="132"/>
        <v>188.02875</v>
      </c>
      <c r="R71" s="13">
        <f t="shared" si="132"/>
        <v>202.87312499999999</v>
      </c>
      <c r="S71" s="13">
        <f t="shared" si="132"/>
        <v>217.71750000000003</v>
      </c>
      <c r="T71" s="13">
        <f t="shared" si="132"/>
        <v>232.56187499999999</v>
      </c>
      <c r="U71" s="13">
        <f t="shared" si="132"/>
        <v>247.40625</v>
      </c>
      <c r="V71" s="13">
        <f t="shared" si="132"/>
        <v>262.25062500000001</v>
      </c>
      <c r="W71" s="13">
        <f t="shared" si="132"/>
        <v>277.09499999999997</v>
      </c>
      <c r="X71" s="13">
        <f t="shared" ref="X71:Y71" si="133">($E$63*$E$71*X60)*$E$19</f>
        <v>291.93937499999998</v>
      </c>
      <c r="Y71" s="13">
        <f t="shared" si="133"/>
        <v>306.78374999999994</v>
      </c>
      <c r="Z71" s="13">
        <f t="shared" ref="Z71:AA71" si="134">($E$63*$E$71*Z60)*$E$19</f>
        <v>321.62812500000001</v>
      </c>
      <c r="AA71" s="13">
        <f t="shared" si="134"/>
        <v>336.47250000000003</v>
      </c>
      <c r="AB71" s="13">
        <f t="shared" ref="AB71:AI71" si="135">($E$63*$E$71*AB60)*$E$19</f>
        <v>351.31687499999998</v>
      </c>
      <c r="AC71" s="13">
        <f t="shared" si="135"/>
        <v>366.16124999999994</v>
      </c>
      <c r="AD71" s="13">
        <f t="shared" si="135"/>
        <v>381.00562500000001</v>
      </c>
      <c r="AE71" s="13">
        <f t="shared" si="135"/>
        <v>395.84999999999997</v>
      </c>
      <c r="AF71" s="13">
        <f t="shared" si="135"/>
        <v>410.69437499999992</v>
      </c>
      <c r="AG71" s="13">
        <f t="shared" si="135"/>
        <v>425.53874999999994</v>
      </c>
      <c r="AH71" s="13">
        <f t="shared" si="135"/>
        <v>440.38312500000001</v>
      </c>
      <c r="AI71" s="13">
        <f t="shared" si="135"/>
        <v>455.22750000000002</v>
      </c>
    </row>
    <row r="72" spans="1:35" s="1" customFormat="1" ht="23.25" customHeight="1" x14ac:dyDescent="0.2">
      <c r="A72" s="107"/>
      <c r="B72" s="32"/>
      <c r="C72" s="32"/>
      <c r="D72" s="32"/>
      <c r="E72" s="32"/>
      <c r="F72" s="32" t="s">
        <v>147</v>
      </c>
      <c r="G72" s="32">
        <f>G69*365</f>
        <v>26904.15</v>
      </c>
      <c r="H72" s="32">
        <f t="shared" ref="H72:AE72" si="136">H69*365</f>
        <v>35872.200000000004</v>
      </c>
      <c r="I72" s="32">
        <f t="shared" si="136"/>
        <v>44840.25</v>
      </c>
      <c r="J72" s="32">
        <f t="shared" si="136"/>
        <v>53808.3</v>
      </c>
      <c r="K72" s="32">
        <f t="shared" si="136"/>
        <v>62776.349999999991</v>
      </c>
      <c r="L72" s="32">
        <f t="shared" si="136"/>
        <v>71744.400000000009</v>
      </c>
      <c r="M72" s="32">
        <f t="shared" si="136"/>
        <v>80712.45</v>
      </c>
      <c r="N72" s="32">
        <f t="shared" si="136"/>
        <v>89680.5</v>
      </c>
      <c r="O72" s="32">
        <f t="shared" si="136"/>
        <v>98648.550000000017</v>
      </c>
      <c r="P72" s="32">
        <f t="shared" si="136"/>
        <v>107616.6</v>
      </c>
      <c r="Q72" s="32">
        <f t="shared" si="136"/>
        <v>116584.65</v>
      </c>
      <c r="R72" s="32">
        <f t="shared" si="136"/>
        <v>125552.69999999998</v>
      </c>
      <c r="S72" s="32">
        <f t="shared" si="136"/>
        <v>134520.75000000003</v>
      </c>
      <c r="T72" s="32">
        <f t="shared" si="136"/>
        <v>143488.80000000002</v>
      </c>
      <c r="U72" s="32">
        <f t="shared" si="136"/>
        <v>152456.85</v>
      </c>
      <c r="V72" s="32">
        <f t="shared" si="136"/>
        <v>161424.9</v>
      </c>
      <c r="W72" s="32">
        <f t="shared" si="136"/>
        <v>170392.94999999998</v>
      </c>
      <c r="X72" s="32">
        <f t="shared" si="136"/>
        <v>179361</v>
      </c>
      <c r="Y72" s="32">
        <f t="shared" si="136"/>
        <v>179361</v>
      </c>
      <c r="Z72" s="32">
        <f t="shared" si="136"/>
        <v>179361</v>
      </c>
      <c r="AA72" s="32">
        <f t="shared" si="136"/>
        <v>179361</v>
      </c>
      <c r="AB72" s="32">
        <f t="shared" si="136"/>
        <v>179361</v>
      </c>
      <c r="AC72" s="32">
        <f t="shared" si="136"/>
        <v>179361</v>
      </c>
      <c r="AD72" s="32">
        <f t="shared" si="136"/>
        <v>179361</v>
      </c>
      <c r="AE72" s="32">
        <f t="shared" si="136"/>
        <v>179361</v>
      </c>
      <c r="AF72" s="32"/>
      <c r="AG72" s="32"/>
      <c r="AH72" s="32"/>
      <c r="AI72" s="32"/>
    </row>
    <row r="73" spans="1:35" s="1" customFormat="1" ht="23.25" customHeight="1" x14ac:dyDescent="0.25">
      <c r="A73" s="87" t="s">
        <v>37</v>
      </c>
      <c r="B73" s="69"/>
      <c r="C73" s="69"/>
      <c r="D73" s="70"/>
      <c r="E73" s="70"/>
      <c r="F73" s="41" t="s">
        <v>148</v>
      </c>
      <c r="G73" s="253">
        <f>G72*'Grant vs No Grant Summary'!$B$23</f>
        <v>6187.9545000000007</v>
      </c>
      <c r="H73" s="253">
        <f>H72*'Grant vs No Grant Summary'!$B$23</f>
        <v>8250.6060000000016</v>
      </c>
      <c r="I73" s="253">
        <f>I72*'Grant vs No Grant Summary'!$B$23</f>
        <v>10313.2575</v>
      </c>
      <c r="J73" s="253">
        <f>J72*'Grant vs No Grant Summary'!$B$23</f>
        <v>12375.909000000001</v>
      </c>
      <c r="K73" s="253">
        <f>K72*'Grant vs No Grant Summary'!$B$23</f>
        <v>14438.560499999998</v>
      </c>
      <c r="L73" s="253">
        <f>L72*'Grant vs No Grant Summary'!$B$23</f>
        <v>16501.212000000003</v>
      </c>
      <c r="M73" s="253">
        <f>M72*'Grant vs No Grant Summary'!$B$23</f>
        <v>18563.863499999999</v>
      </c>
      <c r="N73" s="253">
        <f>N72*'Grant vs No Grant Summary'!$B$23</f>
        <v>20626.514999999999</v>
      </c>
      <c r="O73" s="253">
        <f>O72*'Grant vs No Grant Summary'!$B$23</f>
        <v>22689.166500000007</v>
      </c>
      <c r="P73" s="253">
        <f>P72*'Grant vs No Grant Summary'!$B$23</f>
        <v>24751.818000000003</v>
      </c>
      <c r="Q73" s="253">
        <f>Q72*'Grant vs No Grant Summary'!$B$23</f>
        <v>26814.469499999999</v>
      </c>
      <c r="R73" s="253">
        <f>R72*'Grant vs No Grant Summary'!$B$23</f>
        <v>28877.120999999996</v>
      </c>
      <c r="S73" s="253">
        <f>S72*'Grant vs No Grant Summary'!$B$23</f>
        <v>30939.772500000006</v>
      </c>
      <c r="T73" s="253">
        <f>T72*'Grant vs No Grant Summary'!$B$23</f>
        <v>33002.424000000006</v>
      </c>
      <c r="U73" s="253">
        <f>U72*'Grant vs No Grant Summary'!$B$23</f>
        <v>35065.075500000006</v>
      </c>
      <c r="V73" s="253">
        <f>V72*'Grant vs No Grant Summary'!$B$23</f>
        <v>37127.726999999999</v>
      </c>
      <c r="W73" s="253">
        <f>W72*'Grant vs No Grant Summary'!$B$23</f>
        <v>39190.378499999999</v>
      </c>
      <c r="X73" s="253">
        <f>X72*'Grant vs No Grant Summary'!$B$23</f>
        <v>41253.03</v>
      </c>
      <c r="Y73" s="253">
        <f>Y72*'Grant vs No Grant Summary'!$B$23</f>
        <v>41253.03</v>
      </c>
      <c r="Z73" s="253">
        <f>Z72*'Grant vs No Grant Summary'!$B$23</f>
        <v>41253.03</v>
      </c>
      <c r="AA73" s="253">
        <f>AA72*'Grant vs No Grant Summary'!$B$23</f>
        <v>41253.03</v>
      </c>
      <c r="AB73" s="253">
        <f>AB72*'Grant vs No Grant Summary'!$B$23</f>
        <v>41253.03</v>
      </c>
      <c r="AC73" s="253">
        <f>AC72*'Grant vs No Grant Summary'!$B$23</f>
        <v>41253.03</v>
      </c>
      <c r="AD73" s="253">
        <f>AD72*'Grant vs No Grant Summary'!$B$23</f>
        <v>41253.03</v>
      </c>
      <c r="AE73" s="253">
        <f>AE72*'Grant vs No Grant Summary'!$B$23</f>
        <v>41253.03</v>
      </c>
      <c r="AF73" s="42"/>
      <c r="AG73" s="42"/>
      <c r="AH73" s="42"/>
      <c r="AI73" s="42"/>
    </row>
    <row r="74" spans="1:35" s="1" customFormat="1" ht="23.25" customHeight="1" x14ac:dyDescent="0.2">
      <c r="A74" s="35"/>
      <c r="F74" s="4">
        <v>2023</v>
      </c>
      <c r="G74" s="4">
        <f>F74+1</f>
        <v>2024</v>
      </c>
      <c r="H74" s="4">
        <f t="shared" ref="H74:O74" si="137">G74+1</f>
        <v>2025</v>
      </c>
      <c r="I74" s="4">
        <f t="shared" si="137"/>
        <v>2026</v>
      </c>
      <c r="J74" s="4">
        <f t="shared" si="137"/>
        <v>2027</v>
      </c>
      <c r="K74" s="4">
        <f t="shared" si="137"/>
        <v>2028</v>
      </c>
      <c r="L74" s="4">
        <f t="shared" si="137"/>
        <v>2029</v>
      </c>
      <c r="M74" s="4">
        <f t="shared" si="137"/>
        <v>2030</v>
      </c>
      <c r="N74" s="4">
        <f t="shared" si="137"/>
        <v>2031</v>
      </c>
      <c r="O74" s="36">
        <f t="shared" si="137"/>
        <v>2032</v>
      </c>
      <c r="P74" s="36">
        <f t="shared" ref="P74" si="138">O74+1</f>
        <v>2033</v>
      </c>
      <c r="Q74" s="36">
        <f t="shared" ref="Q74" si="139">P74+1</f>
        <v>2034</v>
      </c>
      <c r="R74" s="36">
        <f t="shared" ref="R74" si="140">Q74+1</f>
        <v>2035</v>
      </c>
      <c r="S74" s="36">
        <f t="shared" ref="S74" si="141">R74+1</f>
        <v>2036</v>
      </c>
      <c r="T74" s="36">
        <f t="shared" ref="T74" si="142">S74+1</f>
        <v>2037</v>
      </c>
      <c r="U74" s="36">
        <f t="shared" ref="U74" si="143">T74+1</f>
        <v>2038</v>
      </c>
      <c r="V74" s="36">
        <f t="shared" ref="V74" si="144">U74+1</f>
        <v>2039</v>
      </c>
      <c r="W74" s="36">
        <f t="shared" ref="W74" si="145">V74+1</f>
        <v>2040</v>
      </c>
      <c r="X74" s="36">
        <f t="shared" ref="X74" si="146">W74+1</f>
        <v>2041</v>
      </c>
      <c r="Y74" s="36">
        <f t="shared" ref="Y74" si="147">X74+1</f>
        <v>2042</v>
      </c>
      <c r="Z74" s="36">
        <f t="shared" ref="Z74" si="148">Y74+1</f>
        <v>2043</v>
      </c>
      <c r="AA74" s="36">
        <f t="shared" ref="AA74" si="149">Z74+1</f>
        <v>2044</v>
      </c>
      <c r="AB74" s="36">
        <f t="shared" ref="AB74" si="150">AA74+1</f>
        <v>2045</v>
      </c>
      <c r="AC74" s="36">
        <f t="shared" ref="AC74" si="151">AB74+1</f>
        <v>2046</v>
      </c>
      <c r="AD74" s="36">
        <f t="shared" ref="AD74" si="152">AC74+1</f>
        <v>2047</v>
      </c>
      <c r="AE74" s="36">
        <f t="shared" ref="AE74" si="153">AD74+1</f>
        <v>2048</v>
      </c>
      <c r="AF74" s="36">
        <f t="shared" ref="AF74" si="154">AE74+1</f>
        <v>2049</v>
      </c>
      <c r="AG74" s="36">
        <f t="shared" ref="AG74" si="155">AF74+1</f>
        <v>2050</v>
      </c>
      <c r="AH74" s="36">
        <f t="shared" ref="AH74" si="156">AG74+1</f>
        <v>2051</v>
      </c>
      <c r="AI74" s="36">
        <f t="shared" ref="AI74" si="157">AH74+1</f>
        <v>2052</v>
      </c>
    </row>
    <row r="75" spans="1:35" s="1" customFormat="1" ht="23.25" customHeight="1" x14ac:dyDescent="0.25">
      <c r="A75" s="56" t="s">
        <v>38</v>
      </c>
      <c r="B75" s="62"/>
      <c r="C75" s="62"/>
      <c r="D75" s="62"/>
      <c r="E75" s="6">
        <v>0</v>
      </c>
      <c r="F75" s="43"/>
      <c r="G75" s="71"/>
      <c r="H75" s="71"/>
      <c r="I75" s="71"/>
      <c r="J75" s="71"/>
      <c r="K75" s="71"/>
      <c r="L75" s="71"/>
      <c r="M75" s="71"/>
      <c r="N75" s="71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 s="1" customFormat="1" ht="23.25" customHeight="1" x14ac:dyDescent="0.2">
      <c r="A76" s="44" t="s">
        <v>10</v>
      </c>
      <c r="B76" s="69"/>
      <c r="C76" s="69"/>
      <c r="D76" s="72"/>
      <c r="E76" s="70"/>
      <c r="F76" s="7">
        <f t="shared" ref="F76:O76" si="158">($E$75*F68)</f>
        <v>0</v>
      </c>
      <c r="G76" s="7">
        <f>($E$75*G68)</f>
        <v>0</v>
      </c>
      <c r="H76" s="7">
        <f t="shared" si="158"/>
        <v>0</v>
      </c>
      <c r="I76" s="7">
        <f t="shared" si="158"/>
        <v>0</v>
      </c>
      <c r="J76" s="7">
        <f t="shared" si="158"/>
        <v>0</v>
      </c>
      <c r="K76" s="7">
        <f t="shared" si="158"/>
        <v>0</v>
      </c>
      <c r="L76" s="7">
        <f t="shared" si="158"/>
        <v>0</v>
      </c>
      <c r="M76" s="7">
        <f t="shared" si="158"/>
        <v>0</v>
      </c>
      <c r="N76" s="7">
        <f t="shared" si="158"/>
        <v>0</v>
      </c>
      <c r="O76" s="45">
        <f t="shared" si="158"/>
        <v>0</v>
      </c>
      <c r="P76" s="45">
        <f t="shared" ref="P76:W76" si="159">($E$75*P68)</f>
        <v>0</v>
      </c>
      <c r="Q76" s="45">
        <f t="shared" si="159"/>
        <v>0</v>
      </c>
      <c r="R76" s="45">
        <f t="shared" si="159"/>
        <v>0</v>
      </c>
      <c r="S76" s="45">
        <f t="shared" si="159"/>
        <v>0</v>
      </c>
      <c r="T76" s="45">
        <f t="shared" si="159"/>
        <v>0</v>
      </c>
      <c r="U76" s="45">
        <f t="shared" si="159"/>
        <v>0</v>
      </c>
      <c r="V76" s="45">
        <f t="shared" si="159"/>
        <v>0</v>
      </c>
      <c r="W76" s="45">
        <f t="shared" si="159"/>
        <v>0</v>
      </c>
      <c r="X76" s="45">
        <f t="shared" ref="X76:Y76" si="160">($E$75*X68)</f>
        <v>0</v>
      </c>
      <c r="Y76" s="45">
        <f t="shared" si="160"/>
        <v>0</v>
      </c>
      <c r="Z76" s="45">
        <f t="shared" ref="Z76:AA76" si="161">($E$75*Z68)</f>
        <v>0</v>
      </c>
      <c r="AA76" s="45">
        <f t="shared" si="161"/>
        <v>0</v>
      </c>
      <c r="AB76" s="45">
        <f t="shared" ref="AB76:AI76" si="162">($E$75*AB68)</f>
        <v>0</v>
      </c>
      <c r="AC76" s="45">
        <f t="shared" si="162"/>
        <v>0</v>
      </c>
      <c r="AD76" s="45">
        <f t="shared" si="162"/>
        <v>0</v>
      </c>
      <c r="AE76" s="45">
        <f t="shared" si="162"/>
        <v>0</v>
      </c>
      <c r="AF76" s="45">
        <f t="shared" si="162"/>
        <v>0</v>
      </c>
      <c r="AG76" s="45">
        <f t="shared" si="162"/>
        <v>0</v>
      </c>
      <c r="AH76" s="45">
        <f t="shared" si="162"/>
        <v>0</v>
      </c>
      <c r="AI76" s="45">
        <f t="shared" si="162"/>
        <v>0</v>
      </c>
    </row>
    <row r="77" spans="1:35" s="1" customFormat="1" ht="23.25" customHeight="1" x14ac:dyDescent="0.25">
      <c r="A77" s="56" t="s">
        <v>11</v>
      </c>
      <c r="B77" s="61"/>
      <c r="C77" s="61"/>
      <c r="D77" s="61"/>
      <c r="E77" s="6">
        <v>0</v>
      </c>
      <c r="F77" s="41"/>
      <c r="G77" s="71"/>
      <c r="H77" s="71"/>
      <c r="I77" s="71"/>
      <c r="J77" s="71"/>
      <c r="K77" s="71"/>
      <c r="L77" s="71"/>
      <c r="M77" s="71"/>
      <c r="N77" s="71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 s="1" customFormat="1" ht="23.25" customHeight="1" x14ac:dyDescent="0.2">
      <c r="A78" s="44" t="s">
        <v>12</v>
      </c>
      <c r="B78" s="69"/>
      <c r="C78" s="69"/>
      <c r="D78" s="70"/>
      <c r="E78" s="70"/>
      <c r="F78" s="7">
        <f t="shared" ref="F78:O78" si="163">F57*$E$77</f>
        <v>0</v>
      </c>
      <c r="G78" s="7">
        <f t="shared" si="163"/>
        <v>0</v>
      </c>
      <c r="H78" s="7">
        <f t="shared" si="163"/>
        <v>0</v>
      </c>
      <c r="I78" s="7">
        <f t="shared" si="163"/>
        <v>0</v>
      </c>
      <c r="J78" s="7">
        <f t="shared" si="163"/>
        <v>0</v>
      </c>
      <c r="K78" s="7">
        <f t="shared" si="163"/>
        <v>0</v>
      </c>
      <c r="L78" s="7">
        <f t="shared" si="163"/>
        <v>0</v>
      </c>
      <c r="M78" s="7">
        <f t="shared" si="163"/>
        <v>0</v>
      </c>
      <c r="N78" s="7">
        <f t="shared" si="163"/>
        <v>0</v>
      </c>
      <c r="O78" s="45">
        <f t="shared" si="163"/>
        <v>0</v>
      </c>
      <c r="P78" s="45">
        <f t="shared" ref="P78:W78" si="164">P57*$E$77</f>
        <v>0</v>
      </c>
      <c r="Q78" s="45">
        <f t="shared" si="164"/>
        <v>0</v>
      </c>
      <c r="R78" s="45">
        <f t="shared" si="164"/>
        <v>0</v>
      </c>
      <c r="S78" s="45">
        <f t="shared" si="164"/>
        <v>0</v>
      </c>
      <c r="T78" s="45">
        <f t="shared" si="164"/>
        <v>0</v>
      </c>
      <c r="U78" s="45">
        <f t="shared" si="164"/>
        <v>0</v>
      </c>
      <c r="V78" s="45">
        <f t="shared" si="164"/>
        <v>0</v>
      </c>
      <c r="W78" s="45">
        <f t="shared" si="164"/>
        <v>0</v>
      </c>
      <c r="X78" s="45">
        <f t="shared" ref="X78:Y78" si="165">X57*$E$77</f>
        <v>0</v>
      </c>
      <c r="Y78" s="45">
        <f t="shared" si="165"/>
        <v>0</v>
      </c>
      <c r="Z78" s="45">
        <f t="shared" ref="Z78:AA78" si="166">Z57*$E$77</f>
        <v>0</v>
      </c>
      <c r="AA78" s="45">
        <f t="shared" si="166"/>
        <v>0</v>
      </c>
      <c r="AB78" s="45">
        <f t="shared" ref="AB78:AI78" si="167">AB57*$E$77</f>
        <v>0</v>
      </c>
      <c r="AC78" s="45">
        <f t="shared" si="167"/>
        <v>0</v>
      </c>
      <c r="AD78" s="45">
        <f t="shared" si="167"/>
        <v>0</v>
      </c>
      <c r="AE78" s="45">
        <f t="shared" si="167"/>
        <v>0</v>
      </c>
      <c r="AF78" s="45">
        <f t="shared" si="167"/>
        <v>0</v>
      </c>
      <c r="AG78" s="45">
        <f t="shared" si="167"/>
        <v>0</v>
      </c>
      <c r="AH78" s="45">
        <f t="shared" si="167"/>
        <v>0</v>
      </c>
      <c r="AI78" s="45">
        <f t="shared" si="167"/>
        <v>0</v>
      </c>
    </row>
    <row r="79" spans="1:35" s="1" customFormat="1" ht="23.25" customHeight="1" thickBot="1" x14ac:dyDescent="0.25">
      <c r="A79" s="115" t="s">
        <v>35</v>
      </c>
      <c r="B79" s="113"/>
      <c r="C79" s="113"/>
      <c r="D79" s="113"/>
      <c r="E79" s="113"/>
      <c r="F79" s="114">
        <f t="shared" ref="F79:N79" si="168">F76*0.15</f>
        <v>0</v>
      </c>
      <c r="G79" s="114">
        <f t="shared" si="168"/>
        <v>0</v>
      </c>
      <c r="H79" s="114">
        <f t="shared" si="168"/>
        <v>0</v>
      </c>
      <c r="I79" s="114">
        <f t="shared" si="168"/>
        <v>0</v>
      </c>
      <c r="J79" s="114">
        <f t="shared" si="168"/>
        <v>0</v>
      </c>
      <c r="K79" s="114">
        <f t="shared" si="168"/>
        <v>0</v>
      </c>
      <c r="L79" s="114">
        <f t="shared" si="168"/>
        <v>0</v>
      </c>
      <c r="M79" s="114">
        <f t="shared" si="168"/>
        <v>0</v>
      </c>
      <c r="N79" s="114">
        <f t="shared" si="168"/>
        <v>0</v>
      </c>
      <c r="O79" s="116">
        <f>O76*0.15</f>
        <v>0</v>
      </c>
      <c r="P79" s="116">
        <f t="shared" ref="P79:V79" si="169">P76*0.15</f>
        <v>0</v>
      </c>
      <c r="Q79" s="116">
        <f t="shared" si="169"/>
        <v>0</v>
      </c>
      <c r="R79" s="116">
        <f t="shared" si="169"/>
        <v>0</v>
      </c>
      <c r="S79" s="116">
        <f t="shared" si="169"/>
        <v>0</v>
      </c>
      <c r="T79" s="116">
        <f t="shared" si="169"/>
        <v>0</v>
      </c>
      <c r="U79" s="116">
        <f t="shared" si="169"/>
        <v>0</v>
      </c>
      <c r="V79" s="116">
        <f t="shared" si="169"/>
        <v>0</v>
      </c>
      <c r="W79" s="116">
        <f>W76*0.15</f>
        <v>0</v>
      </c>
      <c r="X79" s="116">
        <f t="shared" ref="X79:Y79" si="170">X76*0.15</f>
        <v>0</v>
      </c>
      <c r="Y79" s="116">
        <f t="shared" si="170"/>
        <v>0</v>
      </c>
      <c r="Z79" s="116">
        <f t="shared" ref="Z79:AA79" si="171">Z76*0.15</f>
        <v>0</v>
      </c>
      <c r="AA79" s="116">
        <f t="shared" si="171"/>
        <v>0</v>
      </c>
      <c r="AB79" s="116">
        <f t="shared" ref="AB79:AI79" si="172">AB76*0.15</f>
        <v>0</v>
      </c>
      <c r="AC79" s="116">
        <f t="shared" si="172"/>
        <v>0</v>
      </c>
      <c r="AD79" s="116">
        <f t="shared" si="172"/>
        <v>0</v>
      </c>
      <c r="AE79" s="116">
        <f t="shared" si="172"/>
        <v>0</v>
      </c>
      <c r="AF79" s="116">
        <f t="shared" si="172"/>
        <v>0</v>
      </c>
      <c r="AG79" s="116">
        <f t="shared" si="172"/>
        <v>0</v>
      </c>
      <c r="AH79" s="116">
        <f t="shared" si="172"/>
        <v>0</v>
      </c>
      <c r="AI79" s="116">
        <f t="shared" si="172"/>
        <v>0</v>
      </c>
    </row>
    <row r="80" spans="1:35" s="1" customFormat="1" ht="23.25" customHeight="1" thickTop="1" thickBot="1" x14ac:dyDescent="0.25">
      <c r="A80" s="135" t="s">
        <v>52</v>
      </c>
      <c r="B80" s="136"/>
      <c r="C80" s="136"/>
      <c r="D80" s="132"/>
      <c r="E80" s="132"/>
      <c r="F80" s="137">
        <f t="shared" ref="F80:N80" si="173">SUM(F76:F79)</f>
        <v>0</v>
      </c>
      <c r="G80" s="137">
        <f t="shared" si="173"/>
        <v>0</v>
      </c>
      <c r="H80" s="137">
        <f t="shared" si="173"/>
        <v>0</v>
      </c>
      <c r="I80" s="137">
        <f t="shared" si="173"/>
        <v>0</v>
      </c>
      <c r="J80" s="137">
        <f t="shared" si="173"/>
        <v>0</v>
      </c>
      <c r="K80" s="137">
        <f t="shared" si="173"/>
        <v>0</v>
      </c>
      <c r="L80" s="137">
        <f t="shared" si="173"/>
        <v>0</v>
      </c>
      <c r="M80" s="137">
        <f>SUM(M76:M79)</f>
        <v>0</v>
      </c>
      <c r="N80" s="137">
        <f t="shared" si="173"/>
        <v>0</v>
      </c>
      <c r="O80" s="138">
        <f>SUM(O76:O79)</f>
        <v>0</v>
      </c>
      <c r="P80" s="138">
        <f t="shared" ref="P80:V80" si="174">SUM(P76:P79)</f>
        <v>0</v>
      </c>
      <c r="Q80" s="138">
        <f t="shared" si="174"/>
        <v>0</v>
      </c>
      <c r="R80" s="138">
        <f t="shared" si="174"/>
        <v>0</v>
      </c>
      <c r="S80" s="138">
        <f t="shared" si="174"/>
        <v>0</v>
      </c>
      <c r="T80" s="138">
        <f t="shared" si="174"/>
        <v>0</v>
      </c>
      <c r="U80" s="138">
        <f t="shared" si="174"/>
        <v>0</v>
      </c>
      <c r="V80" s="138">
        <f t="shared" si="174"/>
        <v>0</v>
      </c>
      <c r="W80" s="138">
        <f>SUM(W76:W79)</f>
        <v>0</v>
      </c>
      <c r="X80" s="138">
        <f t="shared" ref="X80" si="175">SUM(X76:X79)</f>
        <v>0</v>
      </c>
      <c r="Y80" s="138">
        <f t="shared" ref="Y80" si="176">SUM(Y76:Y79)</f>
        <v>0</v>
      </c>
      <c r="Z80" s="138">
        <f t="shared" ref="Z80:AI80" si="177">SUM(Z76:Z79)</f>
        <v>0</v>
      </c>
      <c r="AA80" s="138">
        <f t="shared" ref="AA80" si="178">SUM(AA76:AA79)</f>
        <v>0</v>
      </c>
      <c r="AB80" s="138">
        <f t="shared" si="177"/>
        <v>0</v>
      </c>
      <c r="AC80" s="138">
        <f t="shared" si="177"/>
        <v>0</v>
      </c>
      <c r="AD80" s="138">
        <f t="shared" si="177"/>
        <v>0</v>
      </c>
      <c r="AE80" s="138">
        <f t="shared" si="177"/>
        <v>0</v>
      </c>
      <c r="AF80" s="138">
        <f t="shared" si="177"/>
        <v>0</v>
      </c>
      <c r="AG80" s="138">
        <f t="shared" si="177"/>
        <v>0</v>
      </c>
      <c r="AH80" s="138">
        <f t="shared" si="177"/>
        <v>0</v>
      </c>
      <c r="AI80" s="138">
        <f t="shared" si="177"/>
        <v>0</v>
      </c>
    </row>
    <row r="81" spans="1:35" s="1" customFormat="1" ht="23.25" customHeight="1" x14ac:dyDescent="0.2">
      <c r="A81" s="140"/>
      <c r="B81" s="141"/>
      <c r="C81" s="141"/>
      <c r="D81" s="142"/>
      <c r="E81" s="142"/>
      <c r="F81" s="143"/>
      <c r="G81" s="143"/>
      <c r="H81" s="143"/>
      <c r="I81" s="143"/>
      <c r="J81" s="143"/>
      <c r="K81" s="143"/>
      <c r="L81" s="143"/>
      <c r="M81" s="143"/>
      <c r="N81" s="143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</row>
    <row r="82" spans="1:35" s="1" customFormat="1" ht="23.25" customHeight="1" x14ac:dyDescent="0.25">
      <c r="A82" s="102" t="s">
        <v>49</v>
      </c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 s="1" customFormat="1" ht="23.25" customHeight="1" x14ac:dyDescent="0.2">
      <c r="A83" s="47" t="s">
        <v>31</v>
      </c>
      <c r="B83" s="75"/>
      <c r="C83" s="75"/>
      <c r="D83" s="70"/>
      <c r="E83" s="70"/>
      <c r="F83" s="4">
        <v>2023</v>
      </c>
      <c r="G83" s="4">
        <f>F83+1</f>
        <v>2024</v>
      </c>
      <c r="H83" s="4">
        <f t="shared" ref="H83:O83" si="179">G83+1</f>
        <v>2025</v>
      </c>
      <c r="I83" s="4">
        <f t="shared" si="179"/>
        <v>2026</v>
      </c>
      <c r="J83" s="4">
        <f t="shared" si="179"/>
        <v>2027</v>
      </c>
      <c r="K83" s="4">
        <f t="shared" si="179"/>
        <v>2028</v>
      </c>
      <c r="L83" s="4">
        <f t="shared" si="179"/>
        <v>2029</v>
      </c>
      <c r="M83" s="4">
        <f t="shared" si="179"/>
        <v>2030</v>
      </c>
      <c r="N83" s="4">
        <f t="shared" si="179"/>
        <v>2031</v>
      </c>
      <c r="O83" s="36">
        <f t="shared" si="179"/>
        <v>2032</v>
      </c>
      <c r="P83" s="36">
        <f t="shared" ref="P83" si="180">O83+1</f>
        <v>2033</v>
      </c>
      <c r="Q83" s="36">
        <f t="shared" ref="Q83" si="181">P83+1</f>
        <v>2034</v>
      </c>
      <c r="R83" s="36">
        <f t="shared" ref="R83" si="182">Q83+1</f>
        <v>2035</v>
      </c>
      <c r="S83" s="36">
        <f t="shared" ref="S83" si="183">R83+1</f>
        <v>2036</v>
      </c>
      <c r="T83" s="36">
        <f t="shared" ref="T83" si="184">S83+1</f>
        <v>2037</v>
      </c>
      <c r="U83" s="36">
        <f t="shared" ref="U83" si="185">T83+1</f>
        <v>2038</v>
      </c>
      <c r="V83" s="36">
        <f t="shared" ref="V83" si="186">U83+1</f>
        <v>2039</v>
      </c>
      <c r="W83" s="36">
        <f t="shared" ref="W83" si="187">V83+1</f>
        <v>2040</v>
      </c>
      <c r="X83" s="36">
        <f t="shared" ref="X83" si="188">W83+1</f>
        <v>2041</v>
      </c>
      <c r="Y83" s="36">
        <f t="shared" ref="Y83" si="189">X83+1</f>
        <v>2042</v>
      </c>
      <c r="Z83" s="36">
        <f t="shared" ref="Z83" si="190">Y83+1</f>
        <v>2043</v>
      </c>
      <c r="AA83" s="36">
        <f t="shared" ref="AA83" si="191">Z83+1</f>
        <v>2044</v>
      </c>
      <c r="AB83" s="36">
        <f t="shared" ref="AB83" si="192">AA83+1</f>
        <v>2045</v>
      </c>
      <c r="AC83" s="36">
        <f t="shared" ref="AC83" si="193">AB83+1</f>
        <v>2046</v>
      </c>
      <c r="AD83" s="36">
        <f t="shared" ref="AD83" si="194">AC83+1</f>
        <v>2047</v>
      </c>
      <c r="AE83" s="36">
        <f t="shared" ref="AE83" si="195">AD83+1</f>
        <v>2048</v>
      </c>
      <c r="AF83" s="36">
        <f t="shared" ref="AF83" si="196">AE83+1</f>
        <v>2049</v>
      </c>
      <c r="AG83" s="36">
        <f t="shared" ref="AG83" si="197">AF83+1</f>
        <v>2050</v>
      </c>
      <c r="AH83" s="36">
        <f t="shared" ref="AH83" si="198">AG83+1</f>
        <v>2051</v>
      </c>
      <c r="AI83" s="36">
        <f t="shared" ref="AI83" si="199">AH83+1</f>
        <v>2052</v>
      </c>
    </row>
    <row r="84" spans="1:35" s="1" customFormat="1" ht="23.25" customHeight="1" x14ac:dyDescent="0.2">
      <c r="A84" s="48" t="s">
        <v>13</v>
      </c>
      <c r="B84" s="75"/>
      <c r="C84" s="75"/>
      <c r="D84" s="70"/>
      <c r="E84" s="76">
        <v>0</v>
      </c>
      <c r="F84" s="7"/>
      <c r="G84" s="7"/>
      <c r="H84" s="7"/>
      <c r="I84" s="7"/>
      <c r="J84" s="7"/>
      <c r="K84" s="7"/>
      <c r="L84" s="7"/>
      <c r="M84" s="7"/>
      <c r="N84" s="7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</row>
    <row r="85" spans="1:35" s="1" customFormat="1" ht="23.25" customHeight="1" x14ac:dyDescent="0.25">
      <c r="A85" s="80" t="s">
        <v>14</v>
      </c>
      <c r="B85" s="78"/>
      <c r="C85" s="78"/>
      <c r="D85" s="78"/>
      <c r="E85" s="78"/>
      <c r="F85" s="7">
        <f t="shared" ref="F85:O85" si="200">$E$84*(F80*365)</f>
        <v>0</v>
      </c>
      <c r="G85" s="7">
        <f t="shared" si="200"/>
        <v>0</v>
      </c>
      <c r="H85" s="7">
        <f t="shared" si="200"/>
        <v>0</v>
      </c>
      <c r="I85" s="7">
        <f t="shared" si="200"/>
        <v>0</v>
      </c>
      <c r="J85" s="7">
        <f t="shared" si="200"/>
        <v>0</v>
      </c>
      <c r="K85" s="7">
        <f t="shared" si="200"/>
        <v>0</v>
      </c>
      <c r="L85" s="7">
        <f t="shared" si="200"/>
        <v>0</v>
      </c>
      <c r="M85" s="7">
        <f t="shared" si="200"/>
        <v>0</v>
      </c>
      <c r="N85" s="7">
        <f t="shared" si="200"/>
        <v>0</v>
      </c>
      <c r="O85" s="45">
        <f t="shared" si="200"/>
        <v>0</v>
      </c>
      <c r="P85" s="45">
        <f t="shared" ref="P85:W85" si="201">$E$84*(P80*365)</f>
        <v>0</v>
      </c>
      <c r="Q85" s="45">
        <f t="shared" si="201"/>
        <v>0</v>
      </c>
      <c r="R85" s="45">
        <f t="shared" si="201"/>
        <v>0</v>
      </c>
      <c r="S85" s="45">
        <f t="shared" si="201"/>
        <v>0</v>
      </c>
      <c r="T85" s="45">
        <f t="shared" si="201"/>
        <v>0</v>
      </c>
      <c r="U85" s="45">
        <f t="shared" si="201"/>
        <v>0</v>
      </c>
      <c r="V85" s="45">
        <f t="shared" si="201"/>
        <v>0</v>
      </c>
      <c r="W85" s="45">
        <f t="shared" si="201"/>
        <v>0</v>
      </c>
      <c r="X85" s="45">
        <f t="shared" ref="X85:Y85" si="202">$E$84*(X80*365)</f>
        <v>0</v>
      </c>
      <c r="Y85" s="45">
        <f t="shared" si="202"/>
        <v>0</v>
      </c>
      <c r="Z85" s="45">
        <f t="shared" ref="Z85:AA85" si="203">$E$84*(Z80*365)</f>
        <v>0</v>
      </c>
      <c r="AA85" s="45">
        <f t="shared" si="203"/>
        <v>0</v>
      </c>
      <c r="AB85" s="45">
        <f t="shared" ref="AB85:AI85" si="204">$E$84*(AB80*365)</f>
        <v>0</v>
      </c>
      <c r="AC85" s="45">
        <f t="shared" si="204"/>
        <v>0</v>
      </c>
      <c r="AD85" s="45">
        <f t="shared" si="204"/>
        <v>0</v>
      </c>
      <c r="AE85" s="45">
        <f t="shared" si="204"/>
        <v>0</v>
      </c>
      <c r="AF85" s="45">
        <f t="shared" si="204"/>
        <v>0</v>
      </c>
      <c r="AG85" s="45">
        <f t="shared" si="204"/>
        <v>0</v>
      </c>
      <c r="AH85" s="45">
        <f t="shared" si="204"/>
        <v>0</v>
      </c>
      <c r="AI85" s="45">
        <f t="shared" si="204"/>
        <v>0</v>
      </c>
    </row>
    <row r="86" spans="1:35" s="1" customFormat="1" ht="23.25" customHeight="1" x14ac:dyDescent="0.2">
      <c r="A86" s="47" t="s">
        <v>42</v>
      </c>
      <c r="F86" s="7"/>
      <c r="G86" s="7"/>
      <c r="H86" s="7"/>
      <c r="I86" s="7"/>
      <c r="J86" s="7"/>
      <c r="K86" s="7"/>
      <c r="L86" s="7"/>
      <c r="M86" s="7"/>
      <c r="N86" s="7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</row>
    <row r="87" spans="1:35" s="1" customFormat="1" ht="23.25" customHeight="1" x14ac:dyDescent="0.2">
      <c r="A87" s="48" t="s">
        <v>18</v>
      </c>
      <c r="E87" s="79">
        <v>22</v>
      </c>
      <c r="F87" s="7"/>
      <c r="G87" s="7"/>
      <c r="H87" s="7"/>
      <c r="I87" s="7"/>
      <c r="J87" s="7"/>
      <c r="K87" s="7"/>
      <c r="L87" s="7"/>
      <c r="M87" s="7"/>
      <c r="N87" s="7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</row>
    <row r="88" spans="1:35" s="1" customFormat="1" ht="23.25" customHeight="1" x14ac:dyDescent="0.25">
      <c r="A88" s="74" t="s">
        <v>30</v>
      </c>
      <c r="B88" s="77"/>
      <c r="C88" s="77"/>
      <c r="D88" s="78"/>
      <c r="E88" s="78"/>
      <c r="F88" s="7">
        <f>0</f>
        <v>0</v>
      </c>
      <c r="G88" s="7">
        <f>$E$87*$E$29</f>
        <v>836</v>
      </c>
      <c r="H88" s="7">
        <f t="shared" ref="H88:AI88" si="205">$E$87*$E$29</f>
        <v>836</v>
      </c>
      <c r="I88" s="7">
        <f t="shared" si="205"/>
        <v>836</v>
      </c>
      <c r="J88" s="7">
        <f t="shared" si="205"/>
        <v>836</v>
      </c>
      <c r="K88" s="7">
        <f t="shared" si="205"/>
        <v>836</v>
      </c>
      <c r="L88" s="7">
        <f t="shared" si="205"/>
        <v>836</v>
      </c>
      <c r="M88" s="7">
        <f t="shared" si="205"/>
        <v>836</v>
      </c>
      <c r="N88" s="7">
        <f t="shared" si="205"/>
        <v>836</v>
      </c>
      <c r="O88" s="45">
        <f t="shared" si="205"/>
        <v>836</v>
      </c>
      <c r="P88" s="45">
        <f t="shared" si="205"/>
        <v>836</v>
      </c>
      <c r="Q88" s="45">
        <f t="shared" si="205"/>
        <v>836</v>
      </c>
      <c r="R88" s="45">
        <f t="shared" si="205"/>
        <v>836</v>
      </c>
      <c r="S88" s="45">
        <f t="shared" si="205"/>
        <v>836</v>
      </c>
      <c r="T88" s="45">
        <f t="shared" si="205"/>
        <v>836</v>
      </c>
      <c r="U88" s="45">
        <f t="shared" si="205"/>
        <v>836</v>
      </c>
      <c r="V88" s="45">
        <f t="shared" si="205"/>
        <v>836</v>
      </c>
      <c r="W88" s="45">
        <f t="shared" si="205"/>
        <v>836</v>
      </c>
      <c r="X88" s="45">
        <f t="shared" si="205"/>
        <v>836</v>
      </c>
      <c r="Y88" s="45">
        <f t="shared" si="205"/>
        <v>836</v>
      </c>
      <c r="Z88" s="45">
        <f t="shared" si="205"/>
        <v>836</v>
      </c>
      <c r="AA88" s="45">
        <f t="shared" si="205"/>
        <v>836</v>
      </c>
      <c r="AB88" s="45">
        <f t="shared" si="205"/>
        <v>836</v>
      </c>
      <c r="AC88" s="45">
        <f t="shared" si="205"/>
        <v>836</v>
      </c>
      <c r="AD88" s="45">
        <f t="shared" si="205"/>
        <v>836</v>
      </c>
      <c r="AE88" s="45">
        <f t="shared" si="205"/>
        <v>836</v>
      </c>
      <c r="AF88" s="45">
        <f t="shared" si="205"/>
        <v>836</v>
      </c>
      <c r="AG88" s="45">
        <f t="shared" si="205"/>
        <v>836</v>
      </c>
      <c r="AH88" s="45">
        <f t="shared" si="205"/>
        <v>836</v>
      </c>
      <c r="AI88" s="45">
        <f t="shared" si="205"/>
        <v>836</v>
      </c>
    </row>
    <row r="89" spans="1:35" s="1" customFormat="1" ht="23.25" customHeight="1" x14ac:dyDescent="0.2">
      <c r="A89" s="47" t="s">
        <v>50</v>
      </c>
      <c r="F89" s="7"/>
      <c r="G89" s="7"/>
      <c r="H89" s="7"/>
      <c r="I89" s="7"/>
      <c r="J89" s="7"/>
      <c r="K89" s="7"/>
      <c r="L89" s="7"/>
      <c r="M89" s="7"/>
      <c r="N89" s="7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</row>
    <row r="90" spans="1:35" s="1" customFormat="1" ht="23.25" customHeight="1" x14ac:dyDescent="0.2">
      <c r="A90" s="48" t="s">
        <v>76</v>
      </c>
      <c r="E90" s="121">
        <v>0.22</v>
      </c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</row>
    <row r="91" spans="1:35" s="1" customFormat="1" ht="23.25" customHeight="1" x14ac:dyDescent="0.25">
      <c r="A91" s="74" t="s">
        <v>39</v>
      </c>
      <c r="B91" s="77"/>
      <c r="C91" s="77"/>
      <c r="D91" s="78"/>
      <c r="E91" s="78"/>
      <c r="F91" s="7">
        <f t="shared" ref="F91:O91" si="206">($E$90*F68)*365</f>
        <v>0</v>
      </c>
      <c r="G91" s="7">
        <f t="shared" si="206"/>
        <v>14183.469300000002</v>
      </c>
      <c r="H91" s="7">
        <f t="shared" si="206"/>
        <v>19255.648912500001</v>
      </c>
      <c r="I91" s="7">
        <f t="shared" si="206"/>
        <v>24327.828524999997</v>
      </c>
      <c r="J91" s="7">
        <f t="shared" si="206"/>
        <v>29400.008137500005</v>
      </c>
      <c r="K91" s="7">
        <f t="shared" si="206"/>
        <v>34472.187749999997</v>
      </c>
      <c r="L91" s="7">
        <f t="shared" si="206"/>
        <v>39544.367362500008</v>
      </c>
      <c r="M91" s="7">
        <f t="shared" si="206"/>
        <v>44616.546974999997</v>
      </c>
      <c r="N91" s="7">
        <f t="shared" si="206"/>
        <v>49688.726587499994</v>
      </c>
      <c r="O91" s="45">
        <f t="shared" si="206"/>
        <v>54760.906200000005</v>
      </c>
      <c r="P91" s="45">
        <f t="shared" ref="P91:W91" si="207">($E$90*P68)*365</f>
        <v>59833.085812500001</v>
      </c>
      <c r="Q91" s="45">
        <f t="shared" si="207"/>
        <v>64905.265424999998</v>
      </c>
      <c r="R91" s="45">
        <f t="shared" si="207"/>
        <v>69977.445037499987</v>
      </c>
      <c r="S91" s="45">
        <f t="shared" si="207"/>
        <v>75049.624650000012</v>
      </c>
      <c r="T91" s="45">
        <f t="shared" si="207"/>
        <v>80121.804262500009</v>
      </c>
      <c r="U91" s="45">
        <f t="shared" si="207"/>
        <v>85193.983875000005</v>
      </c>
      <c r="V91" s="45">
        <f t="shared" si="207"/>
        <v>90266.163487500002</v>
      </c>
      <c r="W91" s="45">
        <f t="shared" si="207"/>
        <v>95338.343099999984</v>
      </c>
      <c r="X91" s="45">
        <f t="shared" ref="X91:Y91" si="208">($E$90*X68)*365</f>
        <v>100410.52271249998</v>
      </c>
      <c r="Y91" s="45">
        <f t="shared" si="208"/>
        <v>103509.731325</v>
      </c>
      <c r="Z91" s="45">
        <f t="shared" ref="Z91:AA91" si="209">($E$90*Z68)*365</f>
        <v>106608.93993750001</v>
      </c>
      <c r="AA91" s="45">
        <f t="shared" si="209"/>
        <v>109708.14855000001</v>
      </c>
      <c r="AB91" s="45">
        <f t="shared" ref="AB91:AI91" si="210">($E$90*AB68)*365</f>
        <v>112807.3571625</v>
      </c>
      <c r="AC91" s="45">
        <f t="shared" si="210"/>
        <v>115906.56577499998</v>
      </c>
      <c r="AD91" s="45">
        <f t="shared" si="210"/>
        <v>119005.77438750002</v>
      </c>
      <c r="AE91" s="45">
        <f t="shared" si="210"/>
        <v>122104.98299999999</v>
      </c>
      <c r="AF91" s="45">
        <f t="shared" si="210"/>
        <v>125204.19161250001</v>
      </c>
      <c r="AG91" s="45">
        <f t="shared" si="210"/>
        <v>128303.400225</v>
      </c>
      <c r="AH91" s="45">
        <f t="shared" si="210"/>
        <v>131402.60883749998</v>
      </c>
      <c r="AI91" s="45">
        <f t="shared" si="210"/>
        <v>134501.81745</v>
      </c>
    </row>
    <row r="92" spans="1:35" s="1" customFormat="1" ht="23.25" customHeight="1" x14ac:dyDescent="0.2">
      <c r="A92" s="47" t="s">
        <v>48</v>
      </c>
      <c r="F92" s="7"/>
      <c r="G92" s="7"/>
      <c r="H92" s="7"/>
      <c r="I92" s="7"/>
      <c r="J92" s="7"/>
      <c r="K92" s="7"/>
      <c r="L92" s="7"/>
      <c r="M92" s="7"/>
      <c r="N92" s="7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</row>
    <row r="93" spans="1:35" s="1" customFormat="1" ht="23.25" customHeight="1" x14ac:dyDescent="0.2">
      <c r="A93" s="48" t="s">
        <v>41</v>
      </c>
      <c r="E93" s="120">
        <v>0</v>
      </c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</row>
    <row r="94" spans="1:35" s="1" customFormat="1" ht="27" customHeight="1" thickBot="1" x14ac:dyDescent="0.3">
      <c r="A94" s="117" t="s">
        <v>39</v>
      </c>
      <c r="B94" s="118"/>
      <c r="C94" s="118"/>
      <c r="D94" s="119"/>
      <c r="E94" s="119"/>
      <c r="F94" s="151">
        <f t="shared" ref="F94:O94" si="211">F80*$E$93 *365</f>
        <v>0</v>
      </c>
      <c r="G94" s="151">
        <f t="shared" si="211"/>
        <v>0</v>
      </c>
      <c r="H94" s="151">
        <f t="shared" si="211"/>
        <v>0</v>
      </c>
      <c r="I94" s="151">
        <f t="shared" si="211"/>
        <v>0</v>
      </c>
      <c r="J94" s="151">
        <f t="shared" si="211"/>
        <v>0</v>
      </c>
      <c r="K94" s="151">
        <f t="shared" si="211"/>
        <v>0</v>
      </c>
      <c r="L94" s="151">
        <f t="shared" si="211"/>
        <v>0</v>
      </c>
      <c r="M94" s="151">
        <f t="shared" si="211"/>
        <v>0</v>
      </c>
      <c r="N94" s="151">
        <f t="shared" si="211"/>
        <v>0</v>
      </c>
      <c r="O94" s="152">
        <f t="shared" si="211"/>
        <v>0</v>
      </c>
      <c r="P94" s="152">
        <f t="shared" ref="P94:W94" si="212">P80*$E$93 *365</f>
        <v>0</v>
      </c>
      <c r="Q94" s="152">
        <f t="shared" si="212"/>
        <v>0</v>
      </c>
      <c r="R94" s="152">
        <f t="shared" si="212"/>
        <v>0</v>
      </c>
      <c r="S94" s="152">
        <f t="shared" si="212"/>
        <v>0</v>
      </c>
      <c r="T94" s="152">
        <f t="shared" si="212"/>
        <v>0</v>
      </c>
      <c r="U94" s="152">
        <f t="shared" si="212"/>
        <v>0</v>
      </c>
      <c r="V94" s="152">
        <f t="shared" si="212"/>
        <v>0</v>
      </c>
      <c r="W94" s="152">
        <f t="shared" si="212"/>
        <v>0</v>
      </c>
      <c r="X94" s="152">
        <f t="shared" ref="X94:Y94" si="213">X80*$E$93 *365</f>
        <v>0</v>
      </c>
      <c r="Y94" s="152">
        <f t="shared" si="213"/>
        <v>0</v>
      </c>
      <c r="Z94" s="152">
        <f t="shared" ref="Z94:AA94" si="214">Z80*$E$93 *365</f>
        <v>0</v>
      </c>
      <c r="AA94" s="152">
        <f t="shared" si="214"/>
        <v>0</v>
      </c>
      <c r="AB94" s="152">
        <f t="shared" ref="AB94:AI94" si="215">AB80*$E$93 *365</f>
        <v>0</v>
      </c>
      <c r="AC94" s="152">
        <f t="shared" si="215"/>
        <v>0</v>
      </c>
      <c r="AD94" s="152">
        <f t="shared" si="215"/>
        <v>0</v>
      </c>
      <c r="AE94" s="152">
        <f t="shared" si="215"/>
        <v>0</v>
      </c>
      <c r="AF94" s="152">
        <f t="shared" si="215"/>
        <v>0</v>
      </c>
      <c r="AG94" s="152">
        <f t="shared" si="215"/>
        <v>0</v>
      </c>
      <c r="AH94" s="152">
        <f t="shared" si="215"/>
        <v>0</v>
      </c>
      <c r="AI94" s="152">
        <f t="shared" si="215"/>
        <v>0</v>
      </c>
    </row>
    <row r="95" spans="1:35" s="1" customFormat="1" ht="23.25" customHeight="1" thickTop="1" thickBot="1" x14ac:dyDescent="0.25">
      <c r="A95" s="135" t="s">
        <v>40</v>
      </c>
      <c r="B95" s="136"/>
      <c r="C95" s="136"/>
      <c r="D95" s="132"/>
      <c r="E95" s="132"/>
      <c r="F95" s="153">
        <f>SUM(F84:F94)</f>
        <v>0</v>
      </c>
      <c r="G95" s="153">
        <f t="shared" ref="G95:O95" si="216">SUM(G84:G94)</f>
        <v>15019.469300000002</v>
      </c>
      <c r="H95" s="153">
        <f t="shared" si="216"/>
        <v>20091.648912500001</v>
      </c>
      <c r="I95" s="153">
        <f t="shared" si="216"/>
        <v>25163.828524999997</v>
      </c>
      <c r="J95" s="153">
        <f t="shared" si="216"/>
        <v>30236.008137500005</v>
      </c>
      <c r="K95" s="153">
        <f t="shared" si="216"/>
        <v>35308.187749999997</v>
      </c>
      <c r="L95" s="153">
        <f t="shared" si="216"/>
        <v>40380.367362500008</v>
      </c>
      <c r="M95" s="153">
        <f t="shared" si="216"/>
        <v>45452.546974999997</v>
      </c>
      <c r="N95" s="153">
        <f t="shared" si="216"/>
        <v>50524.726587499994</v>
      </c>
      <c r="O95" s="154">
        <f t="shared" si="216"/>
        <v>55596.906200000005</v>
      </c>
      <c r="P95" s="154">
        <f t="shared" ref="P95:W95" si="217">SUM(P84:P94)</f>
        <v>60669.085812500001</v>
      </c>
      <c r="Q95" s="154">
        <f t="shared" si="217"/>
        <v>65741.265424999991</v>
      </c>
      <c r="R95" s="154">
        <f t="shared" si="217"/>
        <v>70813.445037499987</v>
      </c>
      <c r="S95" s="154">
        <f t="shared" si="217"/>
        <v>75885.624650000012</v>
      </c>
      <c r="T95" s="154">
        <f t="shared" si="217"/>
        <v>80957.804262500009</v>
      </c>
      <c r="U95" s="154">
        <f t="shared" si="217"/>
        <v>86029.983875000005</v>
      </c>
      <c r="V95" s="154">
        <f t="shared" si="217"/>
        <v>91102.163487500002</v>
      </c>
      <c r="W95" s="154">
        <f t="shared" si="217"/>
        <v>96174.343099999984</v>
      </c>
      <c r="X95" s="154">
        <f t="shared" ref="X95:Y95" si="218">SUM(X84:X94)</f>
        <v>101246.52271249998</v>
      </c>
      <c r="Y95" s="154">
        <f t="shared" si="218"/>
        <v>104345.731325</v>
      </c>
      <c r="Z95" s="154">
        <f t="shared" ref="Z95:AA95" si="219">SUM(Z84:Z94)</f>
        <v>107444.93993750001</v>
      </c>
      <c r="AA95" s="154">
        <f t="shared" si="219"/>
        <v>110544.14855000001</v>
      </c>
      <c r="AB95" s="154">
        <f t="shared" ref="AB95:AI95" si="220">SUM(AB84:AB94)</f>
        <v>113643.3571625</v>
      </c>
      <c r="AC95" s="154">
        <f t="shared" si="220"/>
        <v>116742.56577499998</v>
      </c>
      <c r="AD95" s="154">
        <f t="shared" si="220"/>
        <v>119841.77438750002</v>
      </c>
      <c r="AE95" s="154">
        <f t="shared" si="220"/>
        <v>122940.98299999999</v>
      </c>
      <c r="AF95" s="154">
        <f t="shared" si="220"/>
        <v>126040.19161250001</v>
      </c>
      <c r="AG95" s="154">
        <f t="shared" si="220"/>
        <v>129139.400225</v>
      </c>
      <c r="AH95" s="154">
        <f t="shared" si="220"/>
        <v>132238.60883749998</v>
      </c>
      <c r="AI95" s="154">
        <f t="shared" si="220"/>
        <v>135337.81745</v>
      </c>
    </row>
    <row r="96" spans="1:35" s="1" customFormat="1" ht="23.25" customHeight="1" x14ac:dyDescent="0.2">
      <c r="A96" s="127"/>
      <c r="B96" s="128"/>
      <c r="C96" s="128"/>
      <c r="D96" s="33"/>
      <c r="E96" s="33"/>
      <c r="F96" s="129"/>
      <c r="G96" s="129"/>
      <c r="H96" s="129"/>
      <c r="I96" s="129"/>
      <c r="J96" s="129"/>
      <c r="K96" s="129"/>
      <c r="L96" s="129"/>
      <c r="M96" s="129"/>
      <c r="N96" s="129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</row>
    <row r="97" spans="1:35" s="1" customFormat="1" ht="23.25" customHeight="1" x14ac:dyDescent="0.25">
      <c r="A97" s="139" t="s">
        <v>53</v>
      </c>
      <c r="F97" s="73"/>
      <c r="G97" s="73"/>
      <c r="H97" s="73"/>
      <c r="I97" s="73"/>
      <c r="J97" s="73"/>
      <c r="K97" s="73"/>
      <c r="L97" s="73"/>
      <c r="M97" s="73"/>
      <c r="N97" s="73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</row>
    <row r="98" spans="1:35" s="1" customFormat="1" ht="23.25" customHeight="1" x14ac:dyDescent="0.2">
      <c r="A98" s="46"/>
      <c r="F98" s="4">
        <v>2023</v>
      </c>
      <c r="G98" s="4">
        <f>F98+1</f>
        <v>2024</v>
      </c>
      <c r="H98" s="4">
        <f t="shared" ref="H98:O98" si="221">G98+1</f>
        <v>2025</v>
      </c>
      <c r="I98" s="4">
        <f t="shared" si="221"/>
        <v>2026</v>
      </c>
      <c r="J98" s="4">
        <f t="shared" si="221"/>
        <v>2027</v>
      </c>
      <c r="K98" s="4">
        <f t="shared" si="221"/>
        <v>2028</v>
      </c>
      <c r="L98" s="4">
        <f t="shared" si="221"/>
        <v>2029</v>
      </c>
      <c r="M98" s="4">
        <f t="shared" si="221"/>
        <v>2030</v>
      </c>
      <c r="N98" s="4">
        <f t="shared" si="221"/>
        <v>2031</v>
      </c>
      <c r="O98" s="36">
        <f t="shared" si="221"/>
        <v>2032</v>
      </c>
      <c r="P98" s="36">
        <f t="shared" ref="P98" si="222">O98+1</f>
        <v>2033</v>
      </c>
      <c r="Q98" s="36">
        <f t="shared" ref="Q98" si="223">P98+1</f>
        <v>2034</v>
      </c>
      <c r="R98" s="36">
        <f t="shared" ref="R98" si="224">Q98+1</f>
        <v>2035</v>
      </c>
      <c r="S98" s="36">
        <f t="shared" ref="S98" si="225">R98+1</f>
        <v>2036</v>
      </c>
      <c r="T98" s="36">
        <f t="shared" ref="T98" si="226">S98+1</f>
        <v>2037</v>
      </c>
      <c r="U98" s="36">
        <f t="shared" ref="U98" si="227">T98+1</f>
        <v>2038</v>
      </c>
      <c r="V98" s="36">
        <f t="shared" ref="V98" si="228">U98+1</f>
        <v>2039</v>
      </c>
      <c r="W98" s="36">
        <f t="shared" ref="W98" si="229">V98+1</f>
        <v>2040</v>
      </c>
      <c r="X98" s="36">
        <f t="shared" ref="X98" si="230">W98+1</f>
        <v>2041</v>
      </c>
      <c r="Y98" s="36">
        <f t="shared" ref="Y98" si="231">X98+1</f>
        <v>2042</v>
      </c>
      <c r="Z98" s="36">
        <f t="shared" ref="Z98" si="232">Y98+1</f>
        <v>2043</v>
      </c>
      <c r="AA98" s="36">
        <f t="shared" ref="AA98" si="233">Z98+1</f>
        <v>2044</v>
      </c>
      <c r="AB98" s="36">
        <f t="shared" ref="AB98" si="234">AA98+1</f>
        <v>2045</v>
      </c>
      <c r="AC98" s="36">
        <f t="shared" ref="AC98" si="235">AB98+1</f>
        <v>2046</v>
      </c>
      <c r="AD98" s="36">
        <f t="shared" ref="AD98" si="236">AC98+1</f>
        <v>2047</v>
      </c>
      <c r="AE98" s="36">
        <f t="shared" ref="AE98" si="237">AD98+1</f>
        <v>2048</v>
      </c>
      <c r="AF98" s="36">
        <f t="shared" ref="AF98" si="238">AE98+1</f>
        <v>2049</v>
      </c>
      <c r="AG98" s="36">
        <f t="shared" ref="AG98" si="239">AF98+1</f>
        <v>2050</v>
      </c>
      <c r="AH98" s="36">
        <f t="shared" ref="AH98" si="240">AG98+1</f>
        <v>2051</v>
      </c>
      <c r="AI98" s="36">
        <f t="shared" ref="AI98" si="241">AH98+1</f>
        <v>2052</v>
      </c>
    </row>
    <row r="99" spans="1:35" s="1" customFormat="1" ht="23.25" customHeight="1" x14ac:dyDescent="0.25">
      <c r="A99" s="47" t="s">
        <v>54</v>
      </c>
      <c r="B99" s="69"/>
      <c r="C99" s="69"/>
      <c r="D99" s="70"/>
      <c r="E99" s="70"/>
      <c r="F99" s="145">
        <f t="shared" ref="F99:O99" si="242">F80*365</f>
        <v>0</v>
      </c>
      <c r="G99" s="145">
        <f t="shared" si="242"/>
        <v>0</v>
      </c>
      <c r="H99" s="145">
        <f t="shared" si="242"/>
        <v>0</v>
      </c>
      <c r="I99" s="145">
        <f t="shared" si="242"/>
        <v>0</v>
      </c>
      <c r="J99" s="145">
        <f t="shared" si="242"/>
        <v>0</v>
      </c>
      <c r="K99" s="145">
        <f t="shared" si="242"/>
        <v>0</v>
      </c>
      <c r="L99" s="145">
        <f t="shared" si="242"/>
        <v>0</v>
      </c>
      <c r="M99" s="145">
        <f t="shared" si="242"/>
        <v>0</v>
      </c>
      <c r="N99" s="145">
        <f t="shared" si="242"/>
        <v>0</v>
      </c>
      <c r="O99" s="146">
        <f t="shared" si="242"/>
        <v>0</v>
      </c>
      <c r="P99" s="146">
        <f t="shared" ref="P99:W99" si="243">P80*365</f>
        <v>0</v>
      </c>
      <c r="Q99" s="146">
        <f t="shared" si="243"/>
        <v>0</v>
      </c>
      <c r="R99" s="146">
        <f t="shared" si="243"/>
        <v>0</v>
      </c>
      <c r="S99" s="146">
        <f t="shared" si="243"/>
        <v>0</v>
      </c>
      <c r="T99" s="146">
        <f t="shared" si="243"/>
        <v>0</v>
      </c>
      <c r="U99" s="146">
        <f t="shared" si="243"/>
        <v>0</v>
      </c>
      <c r="V99" s="146">
        <f t="shared" si="243"/>
        <v>0</v>
      </c>
      <c r="W99" s="146">
        <f t="shared" si="243"/>
        <v>0</v>
      </c>
      <c r="X99" s="146">
        <f t="shared" ref="X99:Y99" si="244">X80*365</f>
        <v>0</v>
      </c>
      <c r="Y99" s="146">
        <f t="shared" si="244"/>
        <v>0</v>
      </c>
      <c r="Z99" s="146">
        <f t="shared" ref="Z99:AA99" si="245">Z80*365</f>
        <v>0</v>
      </c>
      <c r="AA99" s="146">
        <f t="shared" si="245"/>
        <v>0</v>
      </c>
      <c r="AB99" s="146">
        <f t="shared" ref="AB99:AI99" si="246">AB80*365</f>
        <v>0</v>
      </c>
      <c r="AC99" s="146">
        <f t="shared" si="246"/>
        <v>0</v>
      </c>
      <c r="AD99" s="146">
        <f t="shared" si="246"/>
        <v>0</v>
      </c>
      <c r="AE99" s="146">
        <f t="shared" si="246"/>
        <v>0</v>
      </c>
      <c r="AF99" s="146">
        <f t="shared" si="246"/>
        <v>0</v>
      </c>
      <c r="AG99" s="146">
        <f t="shared" si="246"/>
        <v>0</v>
      </c>
      <c r="AH99" s="146">
        <f t="shared" si="246"/>
        <v>0</v>
      </c>
      <c r="AI99" s="146">
        <f t="shared" si="246"/>
        <v>0</v>
      </c>
    </row>
    <row r="100" spans="1:35" s="1" customFormat="1" ht="23.25" customHeight="1" thickBot="1" x14ac:dyDescent="0.3">
      <c r="A100" s="125" t="s">
        <v>43</v>
      </c>
      <c r="B100" s="126"/>
      <c r="C100" s="126"/>
      <c r="D100" s="126"/>
      <c r="E100" s="126"/>
      <c r="F100" s="147">
        <f>F95</f>
        <v>0</v>
      </c>
      <c r="G100" s="147">
        <f t="shared" ref="G100:O100" si="247">G95</f>
        <v>15019.469300000002</v>
      </c>
      <c r="H100" s="147">
        <f t="shared" si="247"/>
        <v>20091.648912500001</v>
      </c>
      <c r="I100" s="147">
        <f t="shared" si="247"/>
        <v>25163.828524999997</v>
      </c>
      <c r="J100" s="147">
        <f t="shared" si="247"/>
        <v>30236.008137500005</v>
      </c>
      <c r="K100" s="147">
        <f t="shared" si="247"/>
        <v>35308.187749999997</v>
      </c>
      <c r="L100" s="147">
        <f t="shared" si="247"/>
        <v>40380.367362500008</v>
      </c>
      <c r="M100" s="147">
        <f t="shared" si="247"/>
        <v>45452.546974999997</v>
      </c>
      <c r="N100" s="147">
        <f t="shared" si="247"/>
        <v>50524.726587499994</v>
      </c>
      <c r="O100" s="148">
        <f t="shared" si="247"/>
        <v>55596.906200000005</v>
      </c>
      <c r="P100" s="148">
        <f t="shared" ref="P100:W100" si="248">P95</f>
        <v>60669.085812500001</v>
      </c>
      <c r="Q100" s="148">
        <f t="shared" si="248"/>
        <v>65741.265424999991</v>
      </c>
      <c r="R100" s="148">
        <f t="shared" si="248"/>
        <v>70813.445037499987</v>
      </c>
      <c r="S100" s="148">
        <f t="shared" si="248"/>
        <v>75885.624650000012</v>
      </c>
      <c r="T100" s="148">
        <f t="shared" si="248"/>
        <v>80957.804262500009</v>
      </c>
      <c r="U100" s="148">
        <f t="shared" si="248"/>
        <v>86029.983875000005</v>
      </c>
      <c r="V100" s="148">
        <f t="shared" si="248"/>
        <v>91102.163487500002</v>
      </c>
      <c r="W100" s="148">
        <f t="shared" si="248"/>
        <v>96174.343099999984</v>
      </c>
      <c r="X100" s="148">
        <f t="shared" ref="X100:Y100" si="249">X95</f>
        <v>101246.52271249998</v>
      </c>
      <c r="Y100" s="148">
        <f t="shared" si="249"/>
        <v>104345.731325</v>
      </c>
      <c r="Z100" s="148">
        <f t="shared" ref="Z100:AA100" si="250">Z95</f>
        <v>107444.93993750001</v>
      </c>
      <c r="AA100" s="148">
        <f t="shared" si="250"/>
        <v>110544.14855000001</v>
      </c>
      <c r="AB100" s="148">
        <f t="shared" ref="AB100:AI100" si="251">AB95</f>
        <v>113643.3571625</v>
      </c>
      <c r="AC100" s="148">
        <f t="shared" si="251"/>
        <v>116742.56577499998</v>
      </c>
      <c r="AD100" s="148">
        <f t="shared" si="251"/>
        <v>119841.77438750002</v>
      </c>
      <c r="AE100" s="148">
        <f t="shared" si="251"/>
        <v>122940.98299999999</v>
      </c>
      <c r="AF100" s="148">
        <f t="shared" si="251"/>
        <v>126040.19161250001</v>
      </c>
      <c r="AG100" s="148">
        <f t="shared" si="251"/>
        <v>129139.400225</v>
      </c>
      <c r="AH100" s="148">
        <f t="shared" si="251"/>
        <v>132238.60883749998</v>
      </c>
      <c r="AI100" s="148">
        <f t="shared" si="251"/>
        <v>135337.81745</v>
      </c>
    </row>
    <row r="101" spans="1:35" s="1" customFormat="1" ht="23.25" customHeight="1" thickTop="1" thickBot="1" x14ac:dyDescent="0.25">
      <c r="A101" s="131" t="s">
        <v>44</v>
      </c>
      <c r="B101" s="132"/>
      <c r="C101" s="132"/>
      <c r="D101" s="132"/>
      <c r="E101" s="132"/>
      <c r="F101" s="133">
        <f>F99-F100</f>
        <v>0</v>
      </c>
      <c r="G101" s="133">
        <f t="shared" ref="G101:O101" si="252">G99-G100</f>
        <v>-15019.469300000002</v>
      </c>
      <c r="H101" s="133">
        <f t="shared" si="252"/>
        <v>-20091.648912500001</v>
      </c>
      <c r="I101" s="133">
        <f t="shared" si="252"/>
        <v>-25163.828524999997</v>
      </c>
      <c r="J101" s="133">
        <f t="shared" si="252"/>
        <v>-30236.008137500005</v>
      </c>
      <c r="K101" s="133">
        <f t="shared" si="252"/>
        <v>-35308.187749999997</v>
      </c>
      <c r="L101" s="133">
        <f t="shared" si="252"/>
        <v>-40380.367362500008</v>
      </c>
      <c r="M101" s="133">
        <f t="shared" si="252"/>
        <v>-45452.546974999997</v>
      </c>
      <c r="N101" s="133">
        <f t="shared" si="252"/>
        <v>-50524.726587499994</v>
      </c>
      <c r="O101" s="134">
        <f t="shared" si="252"/>
        <v>-55596.906200000005</v>
      </c>
      <c r="P101" s="134">
        <f t="shared" ref="P101:W101" si="253">P99-P100</f>
        <v>-60669.085812500001</v>
      </c>
      <c r="Q101" s="134">
        <f t="shared" si="253"/>
        <v>-65741.265424999991</v>
      </c>
      <c r="R101" s="134">
        <f t="shared" si="253"/>
        <v>-70813.445037499987</v>
      </c>
      <c r="S101" s="134">
        <f t="shared" si="253"/>
        <v>-75885.624650000012</v>
      </c>
      <c r="T101" s="134">
        <f t="shared" si="253"/>
        <v>-80957.804262500009</v>
      </c>
      <c r="U101" s="134">
        <f t="shared" si="253"/>
        <v>-86029.983875000005</v>
      </c>
      <c r="V101" s="134">
        <f t="shared" si="253"/>
        <v>-91102.163487500002</v>
      </c>
      <c r="W101" s="134">
        <f t="shared" si="253"/>
        <v>-96174.343099999984</v>
      </c>
      <c r="X101" s="134">
        <f t="shared" ref="X101:Y101" si="254">X99-X100</f>
        <v>-101246.52271249998</v>
      </c>
      <c r="Y101" s="134">
        <f t="shared" si="254"/>
        <v>-104345.731325</v>
      </c>
      <c r="Z101" s="134">
        <f t="shared" ref="Z101:AA101" si="255">Z99-Z100</f>
        <v>-107444.93993750001</v>
      </c>
      <c r="AA101" s="134">
        <f t="shared" si="255"/>
        <v>-110544.14855000001</v>
      </c>
      <c r="AB101" s="134">
        <f t="shared" ref="AB101:AI101" si="256">AB99-AB100</f>
        <v>-113643.3571625</v>
      </c>
      <c r="AC101" s="134">
        <f t="shared" si="256"/>
        <v>-116742.56577499998</v>
      </c>
      <c r="AD101" s="134">
        <f t="shared" si="256"/>
        <v>-119841.77438750002</v>
      </c>
      <c r="AE101" s="134">
        <f t="shared" si="256"/>
        <v>-122940.98299999999</v>
      </c>
      <c r="AF101" s="134">
        <f t="shared" si="256"/>
        <v>-126040.19161250001</v>
      </c>
      <c r="AG101" s="134">
        <f t="shared" si="256"/>
        <v>-129139.400225</v>
      </c>
      <c r="AH101" s="134">
        <f t="shared" si="256"/>
        <v>-132238.60883749998</v>
      </c>
      <c r="AI101" s="134">
        <f t="shared" si="256"/>
        <v>-135337.81745</v>
      </c>
    </row>
    <row r="102" spans="1:35" s="1" customFormat="1" ht="11.25" x14ac:dyDescent="0.2">
      <c r="A102" s="70"/>
      <c r="B102" s="70"/>
      <c r="C102" s="70"/>
      <c r="D102" s="70"/>
      <c r="E102" s="70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0"/>
    </row>
    <row r="103" spans="1:35" x14ac:dyDescent="0.25">
      <c r="A103" s="122"/>
      <c r="B103" s="70"/>
      <c r="C103" s="70"/>
      <c r="D103" s="70"/>
      <c r="E103" s="70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4"/>
    </row>
    <row r="104" spans="1:3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</sheetData>
  <mergeCells count="4">
    <mergeCell ref="A2:F17"/>
    <mergeCell ref="E18:F18"/>
    <mergeCell ref="E19:F19"/>
    <mergeCell ref="E66:E67"/>
  </mergeCells>
  <conditionalFormatting sqref="F75">
    <cfRule type="expression" dxfId="1" priority="1">
      <formula>$E$23=1</formula>
    </cfRule>
  </conditionalFormatting>
  <dataValidations disablePrompts="1" count="3">
    <dataValidation errorStyle="information" allowBlank="1" error="Please enter a percentage between 0% and 100%" prompt="Please enter a percentage between 0% and 100%" sqref="F83:AI87 F98:AI98" xr:uid="{A2DC6106-6D1F-42B8-B947-0379B3FBB1FD}"/>
    <dataValidation type="list" allowBlank="1" showInputMessage="1" showErrorMessage="1" sqref="D75 D77" xr:uid="{175F064A-BDD8-4F81-94C0-F9B7BAD5CE25}">
      <formula1>List_Yes_No</formula1>
    </dataValidation>
    <dataValidation errorStyle="information" allowBlank="1" showInputMessage="1" showErrorMessage="1" sqref="F75" xr:uid="{A24D91A2-A282-4522-AD68-6D07E2D8AAF0}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3C913-21FE-42C4-B901-747BC6D9AC20}">
  <dimension ref="A1:AJ104"/>
  <sheetViews>
    <sheetView showGridLines="0" topLeftCell="R37" zoomScale="85" zoomScaleNormal="85" workbookViewId="0">
      <selection activeCell="Z34" sqref="Z34:AI101"/>
    </sheetView>
  </sheetViews>
  <sheetFormatPr defaultRowHeight="15" x14ac:dyDescent="0.25"/>
  <cols>
    <col min="1" max="1" width="63.42578125" customWidth="1"/>
    <col min="4" max="4" width="12.85546875" customWidth="1"/>
    <col min="6" max="6" width="9.5703125" bestFit="1" customWidth="1"/>
    <col min="7" max="7" width="10.28515625" bestFit="1" customWidth="1"/>
    <col min="8" max="12" width="11.140625" bestFit="1" customWidth="1"/>
    <col min="13" max="14" width="12.42578125" bestFit="1" customWidth="1"/>
    <col min="15" max="15" width="9.7109375" bestFit="1" customWidth="1"/>
    <col min="16" max="25" width="10.7109375" bestFit="1" customWidth="1"/>
    <col min="35" max="35" width="10.7109375" bestFit="1" customWidth="1"/>
  </cols>
  <sheetData>
    <row r="1" spans="1:15" s="1" customFormat="1" ht="23.25" customHeight="1" thickBo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1" customFormat="1" ht="23.25" customHeight="1" x14ac:dyDescent="0.2">
      <c r="A2" s="254" t="s">
        <v>73</v>
      </c>
      <c r="B2" s="255"/>
      <c r="C2" s="255"/>
      <c r="D2" s="255"/>
      <c r="E2" s="255"/>
      <c r="F2" s="255"/>
      <c r="G2" s="19"/>
      <c r="H2" s="19"/>
      <c r="I2" s="19"/>
      <c r="J2" s="19"/>
      <c r="K2" s="19"/>
      <c r="L2" s="19"/>
      <c r="M2" s="19"/>
      <c r="N2" s="19"/>
      <c r="O2" s="34"/>
    </row>
    <row r="3" spans="1:15" s="1" customFormat="1" ht="23.25" customHeight="1" x14ac:dyDescent="0.2">
      <c r="A3" s="256"/>
      <c r="B3" s="257"/>
      <c r="C3" s="257"/>
      <c r="D3" s="257"/>
      <c r="E3" s="257"/>
      <c r="F3" s="257"/>
      <c r="O3" s="49"/>
    </row>
    <row r="4" spans="1:15" s="1" customFormat="1" ht="23.25" customHeight="1" x14ac:dyDescent="0.2">
      <c r="A4" s="256"/>
      <c r="B4" s="257"/>
      <c r="C4" s="257"/>
      <c r="D4" s="257"/>
      <c r="E4" s="257"/>
      <c r="F4" s="257"/>
      <c r="O4" s="49"/>
    </row>
    <row r="5" spans="1:15" s="1" customFormat="1" ht="23.25" customHeight="1" x14ac:dyDescent="0.2">
      <c r="A5" s="256"/>
      <c r="B5" s="257"/>
      <c r="C5" s="257"/>
      <c r="D5" s="257"/>
      <c r="E5" s="257"/>
      <c r="F5" s="257"/>
      <c r="O5" s="49"/>
    </row>
    <row r="6" spans="1:15" s="1" customFormat="1" ht="23.25" customHeight="1" x14ac:dyDescent="0.2">
      <c r="A6" s="256"/>
      <c r="B6" s="257"/>
      <c r="C6" s="257"/>
      <c r="D6" s="257"/>
      <c r="E6" s="257"/>
      <c r="F6" s="257"/>
      <c r="O6" s="49"/>
    </row>
    <row r="7" spans="1:15" s="1" customFormat="1" ht="23.25" customHeight="1" x14ac:dyDescent="0.2">
      <c r="A7" s="256"/>
      <c r="B7" s="257"/>
      <c r="C7" s="257"/>
      <c r="D7" s="257"/>
      <c r="E7" s="257"/>
      <c r="F7" s="257"/>
      <c r="O7" s="49"/>
    </row>
    <row r="8" spans="1:15" s="1" customFormat="1" ht="23.25" customHeight="1" x14ac:dyDescent="0.2">
      <c r="A8" s="256"/>
      <c r="B8" s="257"/>
      <c r="C8" s="257"/>
      <c r="D8" s="257"/>
      <c r="E8" s="257"/>
      <c r="F8" s="257"/>
      <c r="O8" s="49"/>
    </row>
    <row r="9" spans="1:15" s="1" customFormat="1" ht="23.25" customHeight="1" x14ac:dyDescent="0.2">
      <c r="A9" s="256"/>
      <c r="B9" s="257"/>
      <c r="C9" s="257"/>
      <c r="D9" s="257"/>
      <c r="E9" s="257"/>
      <c r="F9" s="257"/>
      <c r="O9" s="49"/>
    </row>
    <row r="10" spans="1:15" s="1" customFormat="1" ht="23.25" customHeight="1" x14ac:dyDescent="0.2">
      <c r="A10" s="256"/>
      <c r="B10" s="257"/>
      <c r="C10" s="257"/>
      <c r="D10" s="257"/>
      <c r="E10" s="257"/>
      <c r="F10" s="257"/>
      <c r="O10" s="49"/>
    </row>
    <row r="11" spans="1:15" s="1" customFormat="1" ht="23.25" customHeight="1" x14ac:dyDescent="0.2">
      <c r="A11" s="256"/>
      <c r="B11" s="257"/>
      <c r="C11" s="257"/>
      <c r="D11" s="257"/>
      <c r="E11" s="257"/>
      <c r="F11" s="257"/>
      <c r="O11" s="49"/>
    </row>
    <row r="12" spans="1:15" s="1" customFormat="1" ht="23.25" customHeight="1" x14ac:dyDescent="0.2">
      <c r="A12" s="256"/>
      <c r="B12" s="257"/>
      <c r="C12" s="257"/>
      <c r="D12" s="257"/>
      <c r="E12" s="257"/>
      <c r="F12" s="257"/>
      <c r="O12" s="49"/>
    </row>
    <row r="13" spans="1:15" s="1" customFormat="1" ht="23.25" customHeight="1" x14ac:dyDescent="0.2">
      <c r="A13" s="256"/>
      <c r="B13" s="257"/>
      <c r="C13" s="257"/>
      <c r="D13" s="257"/>
      <c r="E13" s="257"/>
      <c r="F13" s="257"/>
      <c r="O13" s="49"/>
    </row>
    <row r="14" spans="1:15" s="1" customFormat="1" ht="23.25" customHeight="1" x14ac:dyDescent="0.2">
      <c r="A14" s="256"/>
      <c r="B14" s="257"/>
      <c r="C14" s="257"/>
      <c r="D14" s="257"/>
      <c r="E14" s="257"/>
      <c r="F14" s="257"/>
      <c r="O14" s="49"/>
    </row>
    <row r="15" spans="1:15" s="1" customFormat="1" ht="23.25" customHeight="1" x14ac:dyDescent="0.2">
      <c r="A15" s="256"/>
      <c r="B15" s="257"/>
      <c r="C15" s="257"/>
      <c r="D15" s="257"/>
      <c r="E15" s="257"/>
      <c r="F15" s="257"/>
      <c r="O15" s="49"/>
    </row>
    <row r="16" spans="1:15" s="1" customFormat="1" ht="23.25" customHeight="1" x14ac:dyDescent="0.2">
      <c r="A16" s="256"/>
      <c r="B16" s="257"/>
      <c r="C16" s="257"/>
      <c r="D16" s="257"/>
      <c r="E16" s="257"/>
      <c r="F16" s="257"/>
      <c r="O16" s="49"/>
    </row>
    <row r="17" spans="1:15" s="1" customFormat="1" ht="23.25" customHeight="1" x14ac:dyDescent="0.2">
      <c r="A17" s="256"/>
      <c r="B17" s="257"/>
      <c r="C17" s="257"/>
      <c r="D17" s="257"/>
      <c r="E17" s="257"/>
      <c r="F17" s="257"/>
      <c r="O17" s="49"/>
    </row>
    <row r="18" spans="1:15" s="1" customFormat="1" ht="23.25" customHeight="1" x14ac:dyDescent="0.2">
      <c r="A18" s="46" t="s">
        <v>1</v>
      </c>
      <c r="E18" s="258" t="s">
        <v>74</v>
      </c>
      <c r="F18" s="259"/>
      <c r="O18" s="49"/>
    </row>
    <row r="19" spans="1:15" s="1" customFormat="1" ht="23.25" customHeight="1" x14ac:dyDescent="0.2">
      <c r="A19" s="46" t="s">
        <v>51</v>
      </c>
      <c r="E19" s="260">
        <v>1</v>
      </c>
      <c r="F19" s="261"/>
      <c r="O19" s="49"/>
    </row>
    <row r="20" spans="1:15" s="1" customFormat="1" ht="23.25" customHeight="1" x14ac:dyDescent="0.2">
      <c r="A20" s="46"/>
      <c r="O20" s="49"/>
    </row>
    <row r="21" spans="1:15" s="1" customFormat="1" ht="23.25" customHeight="1" x14ac:dyDescent="0.2">
      <c r="A21" s="46" t="s">
        <v>3</v>
      </c>
      <c r="O21" s="49"/>
    </row>
    <row r="22" spans="1:15" s="1" customFormat="1" ht="23.25" customHeight="1" x14ac:dyDescent="0.2">
      <c r="A22" s="52" t="s">
        <v>4</v>
      </c>
      <c r="O22" s="49"/>
    </row>
    <row r="23" spans="1:15" s="1" customFormat="1" ht="23.25" customHeight="1" x14ac:dyDescent="0.2">
      <c r="A23" s="25" t="s">
        <v>5</v>
      </c>
      <c r="E23" s="2">
        <v>550</v>
      </c>
      <c r="O23" s="49"/>
    </row>
    <row r="24" spans="1:15" s="1" customFormat="1" ht="23.25" customHeight="1" x14ac:dyDescent="0.2">
      <c r="A24" s="53" t="s">
        <v>6</v>
      </c>
      <c r="E24" s="67"/>
      <c r="O24" s="49"/>
    </row>
    <row r="25" spans="1:15" s="1" customFormat="1" ht="23.25" customHeight="1" x14ac:dyDescent="0.2">
      <c r="A25" s="54" t="s">
        <v>7</v>
      </c>
      <c r="E25" s="2">
        <v>2500</v>
      </c>
      <c r="O25" s="49"/>
    </row>
    <row r="26" spans="1:15" s="1" customFormat="1" ht="23.25" customHeight="1" x14ac:dyDescent="0.2">
      <c r="A26" s="54" t="s">
        <v>8</v>
      </c>
      <c r="E26" s="2">
        <v>60000</v>
      </c>
      <c r="O26" s="49"/>
    </row>
    <row r="27" spans="1:15" s="1" customFormat="1" ht="23.25" customHeight="1" x14ac:dyDescent="0.2">
      <c r="A27" s="54" t="s">
        <v>15</v>
      </c>
      <c r="E27" s="2">
        <v>5000</v>
      </c>
      <c r="O27" s="49"/>
    </row>
    <row r="28" spans="1:15" s="1" customFormat="1" ht="23.25" customHeight="1" x14ac:dyDescent="0.2">
      <c r="A28" s="35"/>
      <c r="O28" s="49"/>
    </row>
    <row r="29" spans="1:15" s="1" customFormat="1" ht="23.25" customHeight="1" x14ac:dyDescent="0.2">
      <c r="A29" s="35" t="s">
        <v>9</v>
      </c>
      <c r="E29" s="3">
        <v>4</v>
      </c>
      <c r="O29" s="49"/>
    </row>
    <row r="30" spans="1:15" s="1" customFormat="1" ht="23.25" customHeight="1" x14ac:dyDescent="0.2">
      <c r="A30" s="35"/>
      <c r="O30" s="49"/>
    </row>
    <row r="31" spans="1:15" s="1" customFormat="1" ht="23.25" customHeight="1" x14ac:dyDescent="0.2">
      <c r="A31" s="46" t="s">
        <v>75</v>
      </c>
      <c r="B31" s="65"/>
      <c r="C31" s="65"/>
      <c r="D31" s="65"/>
      <c r="E31" s="68">
        <f>((E23+E25)*E29)+((E26+E27))</f>
        <v>77200</v>
      </c>
      <c r="O31" s="49"/>
    </row>
    <row r="32" spans="1:15" s="1" customFormat="1" ht="23.25" customHeight="1" x14ac:dyDescent="0.2">
      <c r="A32" s="46"/>
      <c r="B32" s="65"/>
      <c r="C32" s="65"/>
      <c r="D32" s="65"/>
      <c r="E32" s="68"/>
      <c r="O32" s="49"/>
    </row>
    <row r="33" spans="1:36" s="1" customFormat="1" ht="23.25" customHeight="1" thickBot="1" x14ac:dyDescent="0.25">
      <c r="A33" s="39"/>
      <c r="B33" s="28"/>
      <c r="C33" s="28"/>
      <c r="D33" s="28"/>
      <c r="E33" s="55"/>
      <c r="F33" s="31"/>
      <c r="G33" s="31"/>
      <c r="H33" s="31"/>
      <c r="I33" s="31"/>
      <c r="J33" s="31"/>
      <c r="K33" s="31"/>
      <c r="L33" s="31"/>
      <c r="M33" s="31"/>
      <c r="N33" s="31"/>
      <c r="O33" s="40"/>
    </row>
    <row r="34" spans="1:36" s="1" customFormat="1" ht="23.25" customHeight="1" x14ac:dyDescent="0.25">
      <c r="A34" s="86" t="s">
        <v>32</v>
      </c>
      <c r="B34" s="19"/>
      <c r="C34" s="19"/>
      <c r="D34" s="19"/>
      <c r="E34" s="20"/>
      <c r="F34" s="21">
        <v>2023</v>
      </c>
      <c r="G34" s="21">
        <f>F34+1</f>
        <v>2024</v>
      </c>
      <c r="H34" s="21">
        <f t="shared" ref="H34" si="0">G34+1</f>
        <v>2025</v>
      </c>
      <c r="I34" s="21">
        <f t="shared" ref="I34" si="1">H34+1</f>
        <v>2026</v>
      </c>
      <c r="J34" s="21">
        <f t="shared" ref="J34" si="2">I34+1</f>
        <v>2027</v>
      </c>
      <c r="K34" s="21">
        <f t="shared" ref="K34" si="3">J34+1</f>
        <v>2028</v>
      </c>
      <c r="L34" s="21">
        <f t="shared" ref="L34" si="4">K34+1</f>
        <v>2029</v>
      </c>
      <c r="M34" s="21">
        <f t="shared" ref="M34" si="5">L34+1</f>
        <v>2030</v>
      </c>
      <c r="N34" s="21">
        <f t="shared" ref="N34" si="6">M34+1</f>
        <v>2031</v>
      </c>
      <c r="O34" s="22">
        <f t="shared" ref="O34" si="7">N34+1</f>
        <v>2032</v>
      </c>
      <c r="P34" s="21">
        <f t="shared" ref="P34" si="8">O34+1</f>
        <v>2033</v>
      </c>
      <c r="Q34" s="22">
        <f t="shared" ref="Q34" si="9">P34+1</f>
        <v>2034</v>
      </c>
      <c r="R34" s="21">
        <f t="shared" ref="R34" si="10">Q34+1</f>
        <v>2035</v>
      </c>
      <c r="S34" s="22">
        <f t="shared" ref="S34" si="11">R34+1</f>
        <v>2036</v>
      </c>
      <c r="T34" s="21">
        <f t="shared" ref="T34" si="12">S34+1</f>
        <v>2037</v>
      </c>
      <c r="U34" s="22">
        <f t="shared" ref="U34" si="13">T34+1</f>
        <v>2038</v>
      </c>
      <c r="V34" s="21">
        <f t="shared" ref="V34" si="14">U34+1</f>
        <v>2039</v>
      </c>
      <c r="W34" s="22">
        <f t="shared" ref="W34" si="15">V34+1</f>
        <v>2040</v>
      </c>
      <c r="X34" s="21">
        <f t="shared" ref="X34" si="16">W34+1</f>
        <v>2041</v>
      </c>
      <c r="Y34" s="22">
        <f t="shared" ref="Y34" si="17">X34+1</f>
        <v>2042</v>
      </c>
      <c r="Z34" s="21">
        <f t="shared" ref="Z34" si="18">Y34+1</f>
        <v>2043</v>
      </c>
      <c r="AA34" s="22">
        <f t="shared" ref="AA34" si="19">Z34+1</f>
        <v>2044</v>
      </c>
      <c r="AB34" s="21">
        <f t="shared" ref="AB34" si="20">AA34+1</f>
        <v>2045</v>
      </c>
      <c r="AC34" s="22">
        <f t="shared" ref="AC34" si="21">AB34+1</f>
        <v>2046</v>
      </c>
      <c r="AD34" s="21">
        <f t="shared" ref="AD34" si="22">AC34+1</f>
        <v>2047</v>
      </c>
      <c r="AE34" s="22">
        <f t="shared" ref="AE34" si="23">AD34+1</f>
        <v>2048</v>
      </c>
      <c r="AF34" s="21">
        <f t="shared" ref="AF34" si="24">AE34+1</f>
        <v>2049</v>
      </c>
      <c r="AG34" s="22">
        <f t="shared" ref="AG34" si="25">AF34+1</f>
        <v>2050</v>
      </c>
      <c r="AH34" s="21">
        <f t="shared" ref="AH34" si="26">AG34+1</f>
        <v>2051</v>
      </c>
      <c r="AI34" s="22">
        <f t="shared" ref="AI34" si="27">AH34+1</f>
        <v>2052</v>
      </c>
      <c r="AJ34" s="21"/>
    </row>
    <row r="35" spans="1:36" s="1" customFormat="1" ht="23.25" customHeight="1" thickBot="1" x14ac:dyDescent="0.25">
      <c r="A35" s="35"/>
      <c r="E35" s="66" t="s">
        <v>47</v>
      </c>
      <c r="F35" s="73"/>
      <c r="G35" s="73"/>
      <c r="H35" s="73"/>
      <c r="I35" s="73"/>
      <c r="J35" s="73"/>
      <c r="K35" s="73"/>
      <c r="L35" s="73"/>
      <c r="M35" s="73"/>
      <c r="N35" s="73"/>
      <c r="O35" s="37"/>
      <c r="P35" s="73"/>
      <c r="Q35" s="37"/>
      <c r="R35" s="73"/>
      <c r="S35" s="37"/>
      <c r="T35" s="73"/>
      <c r="U35" s="37"/>
      <c r="V35" s="73"/>
      <c r="W35" s="37"/>
      <c r="X35" s="73"/>
      <c r="Y35" s="37"/>
      <c r="Z35" s="73"/>
      <c r="AA35" s="37"/>
      <c r="AB35" s="73"/>
      <c r="AC35" s="37"/>
      <c r="AD35" s="73"/>
      <c r="AE35" s="37"/>
      <c r="AF35" s="73"/>
      <c r="AG35" s="37"/>
      <c r="AH35" s="73"/>
      <c r="AI35" s="37"/>
      <c r="AJ35" s="73"/>
    </row>
    <row r="36" spans="1:36" s="1" customFormat="1" ht="23.25" customHeight="1" thickBot="1" x14ac:dyDescent="0.3">
      <c r="A36" s="105" t="s">
        <v>33</v>
      </c>
      <c r="B36" s="106"/>
      <c r="C36" s="106"/>
      <c r="D36" s="106"/>
      <c r="E36" s="156">
        <v>600</v>
      </c>
      <c r="F36" s="10">
        <f t="shared" ref="F36:O36" si="28">F39+F42+F45</f>
        <v>0</v>
      </c>
      <c r="G36" s="10">
        <f t="shared" si="28"/>
        <v>420</v>
      </c>
      <c r="H36" s="10">
        <f t="shared" si="28"/>
        <v>420</v>
      </c>
      <c r="I36" s="10">
        <f t="shared" si="28"/>
        <v>420</v>
      </c>
      <c r="J36" s="10">
        <f t="shared" si="28"/>
        <v>420</v>
      </c>
      <c r="K36" s="10">
        <f t="shared" si="28"/>
        <v>420</v>
      </c>
      <c r="L36" s="10">
        <f t="shared" si="28"/>
        <v>420</v>
      </c>
      <c r="M36" s="10">
        <f t="shared" si="28"/>
        <v>420</v>
      </c>
      <c r="N36" s="10">
        <f t="shared" si="28"/>
        <v>420</v>
      </c>
      <c r="O36" s="11">
        <f t="shared" si="28"/>
        <v>420</v>
      </c>
      <c r="P36" s="10">
        <f t="shared" ref="P36:AA36" si="29">P39+P42+P45</f>
        <v>420</v>
      </c>
      <c r="Q36" s="11">
        <f t="shared" si="29"/>
        <v>420</v>
      </c>
      <c r="R36" s="10">
        <f t="shared" si="29"/>
        <v>420</v>
      </c>
      <c r="S36" s="11">
        <f t="shared" si="29"/>
        <v>420</v>
      </c>
      <c r="T36" s="10">
        <f t="shared" si="29"/>
        <v>420</v>
      </c>
      <c r="U36" s="11">
        <f t="shared" si="29"/>
        <v>420</v>
      </c>
      <c r="V36" s="10">
        <f t="shared" si="29"/>
        <v>420</v>
      </c>
      <c r="W36" s="11">
        <f t="shared" si="29"/>
        <v>420</v>
      </c>
      <c r="X36" s="10">
        <f t="shared" si="29"/>
        <v>420</v>
      </c>
      <c r="Y36" s="11">
        <f t="shared" si="29"/>
        <v>420</v>
      </c>
      <c r="Z36" s="10">
        <f t="shared" si="29"/>
        <v>420</v>
      </c>
      <c r="AA36" s="11">
        <f t="shared" si="29"/>
        <v>420</v>
      </c>
      <c r="AB36" s="10">
        <f t="shared" ref="AB36:AI36" si="30">AB39+AB42+AB45</f>
        <v>420</v>
      </c>
      <c r="AC36" s="11">
        <f t="shared" si="30"/>
        <v>420</v>
      </c>
      <c r="AD36" s="10">
        <f t="shared" si="30"/>
        <v>420</v>
      </c>
      <c r="AE36" s="11">
        <f t="shared" si="30"/>
        <v>420</v>
      </c>
      <c r="AF36" s="10">
        <f t="shared" si="30"/>
        <v>420</v>
      </c>
      <c r="AG36" s="11">
        <f t="shared" si="30"/>
        <v>420</v>
      </c>
      <c r="AH36" s="10">
        <f t="shared" si="30"/>
        <v>420</v>
      </c>
      <c r="AI36" s="11">
        <f t="shared" si="30"/>
        <v>420</v>
      </c>
      <c r="AJ36" s="10"/>
    </row>
    <row r="37" spans="1:36" s="1" customFormat="1" ht="23.25" customHeight="1" thickBot="1" x14ac:dyDescent="0.25">
      <c r="A37" s="35"/>
      <c r="E37" s="65"/>
      <c r="O37" s="49"/>
      <c r="Q37" s="49"/>
      <c r="S37" s="49"/>
      <c r="U37" s="49"/>
      <c r="W37" s="49"/>
      <c r="Y37" s="49"/>
      <c r="AA37" s="49"/>
      <c r="AC37" s="49"/>
      <c r="AE37" s="49"/>
      <c r="AG37" s="49"/>
      <c r="AI37" s="49"/>
    </row>
    <row r="38" spans="1:36" s="1" customFormat="1" ht="23.25" customHeight="1" x14ac:dyDescent="0.25">
      <c r="A38" s="89" t="s">
        <v>62</v>
      </c>
      <c r="B38" s="90"/>
      <c r="C38" s="90"/>
      <c r="D38" s="90"/>
      <c r="E38" s="90"/>
      <c r="F38" s="101">
        <v>0</v>
      </c>
      <c r="G38" s="101">
        <v>0.7</v>
      </c>
      <c r="H38" s="101">
        <v>0.7</v>
      </c>
      <c r="I38" s="101">
        <v>0.7</v>
      </c>
      <c r="J38" s="101">
        <v>0.7</v>
      </c>
      <c r="K38" s="101">
        <v>0.7</v>
      </c>
      <c r="L38" s="101">
        <v>0.7</v>
      </c>
      <c r="M38" s="101">
        <v>0.7</v>
      </c>
      <c r="N38" s="101">
        <v>0.7</v>
      </c>
      <c r="O38" s="101">
        <v>0.7</v>
      </c>
      <c r="P38" s="101">
        <v>0.7</v>
      </c>
      <c r="Q38" s="101">
        <v>0.7</v>
      </c>
      <c r="R38" s="101">
        <v>0.7</v>
      </c>
      <c r="S38" s="101">
        <v>0.7</v>
      </c>
      <c r="T38" s="101">
        <v>0.7</v>
      </c>
      <c r="U38" s="101">
        <v>0.7</v>
      </c>
      <c r="V38" s="101">
        <v>0.7</v>
      </c>
      <c r="W38" s="101">
        <v>0.7</v>
      </c>
      <c r="X38" s="101">
        <v>0.7</v>
      </c>
      <c r="Y38" s="101">
        <v>0.7</v>
      </c>
      <c r="Z38" s="101">
        <v>0.7</v>
      </c>
      <c r="AA38" s="101">
        <v>0.7</v>
      </c>
      <c r="AB38" s="101">
        <v>0.7</v>
      </c>
      <c r="AC38" s="101">
        <v>0.7</v>
      </c>
      <c r="AD38" s="101">
        <v>0.7</v>
      </c>
      <c r="AE38" s="101">
        <v>0.7</v>
      </c>
      <c r="AF38" s="101">
        <v>0.7</v>
      </c>
      <c r="AG38" s="101">
        <v>0.7</v>
      </c>
      <c r="AH38" s="101">
        <v>0.7</v>
      </c>
      <c r="AI38" s="101">
        <v>0.7</v>
      </c>
      <c r="AJ38" s="101"/>
    </row>
    <row r="39" spans="1:36" s="1" customFormat="1" ht="23.25" customHeight="1" thickBot="1" x14ac:dyDescent="0.3">
      <c r="A39" s="58" t="s">
        <v>63</v>
      </c>
      <c r="B39" s="59"/>
      <c r="C39" s="59"/>
      <c r="D39" s="59"/>
      <c r="E39" s="155">
        <v>0</v>
      </c>
      <c r="F39" s="103">
        <f t="shared" ref="F39:O39" si="31">$E$39*F38</f>
        <v>0</v>
      </c>
      <c r="G39" s="103">
        <f t="shared" si="31"/>
        <v>0</v>
      </c>
      <c r="H39" s="103">
        <f t="shared" si="31"/>
        <v>0</v>
      </c>
      <c r="I39" s="103">
        <f t="shared" si="31"/>
        <v>0</v>
      </c>
      <c r="J39" s="103">
        <f t="shared" si="31"/>
        <v>0</v>
      </c>
      <c r="K39" s="103">
        <f t="shared" si="31"/>
        <v>0</v>
      </c>
      <c r="L39" s="103">
        <f t="shared" si="31"/>
        <v>0</v>
      </c>
      <c r="M39" s="103">
        <f t="shared" si="31"/>
        <v>0</v>
      </c>
      <c r="N39" s="103">
        <f t="shared" si="31"/>
        <v>0</v>
      </c>
      <c r="O39" s="104">
        <f t="shared" si="31"/>
        <v>0</v>
      </c>
      <c r="P39" s="103">
        <f t="shared" ref="P39:AA39" si="32">$E$39*P38</f>
        <v>0</v>
      </c>
      <c r="Q39" s="104">
        <f t="shared" si="32"/>
        <v>0</v>
      </c>
      <c r="R39" s="103">
        <f t="shared" si="32"/>
        <v>0</v>
      </c>
      <c r="S39" s="104">
        <f t="shared" si="32"/>
        <v>0</v>
      </c>
      <c r="T39" s="103">
        <f t="shared" si="32"/>
        <v>0</v>
      </c>
      <c r="U39" s="104">
        <f t="shared" si="32"/>
        <v>0</v>
      </c>
      <c r="V39" s="103">
        <f t="shared" si="32"/>
        <v>0</v>
      </c>
      <c r="W39" s="104">
        <f t="shared" si="32"/>
        <v>0</v>
      </c>
      <c r="X39" s="103">
        <f t="shared" si="32"/>
        <v>0</v>
      </c>
      <c r="Y39" s="104">
        <f t="shared" si="32"/>
        <v>0</v>
      </c>
      <c r="Z39" s="103">
        <f t="shared" si="32"/>
        <v>0</v>
      </c>
      <c r="AA39" s="104">
        <f t="shared" si="32"/>
        <v>0</v>
      </c>
      <c r="AB39" s="103">
        <f t="shared" ref="AB39:AI39" si="33">$E$39*AB38</f>
        <v>0</v>
      </c>
      <c r="AC39" s="104">
        <f t="shared" si="33"/>
        <v>0</v>
      </c>
      <c r="AD39" s="103">
        <f t="shared" si="33"/>
        <v>0</v>
      </c>
      <c r="AE39" s="104">
        <f t="shared" si="33"/>
        <v>0</v>
      </c>
      <c r="AF39" s="103">
        <f t="shared" si="33"/>
        <v>0</v>
      </c>
      <c r="AG39" s="104">
        <f t="shared" si="33"/>
        <v>0</v>
      </c>
      <c r="AH39" s="103">
        <f t="shared" si="33"/>
        <v>0</v>
      </c>
      <c r="AI39" s="104">
        <f t="shared" si="33"/>
        <v>0</v>
      </c>
      <c r="AJ39" s="103"/>
    </row>
    <row r="40" spans="1:36" s="1" customFormat="1" ht="23.25" customHeight="1" thickBot="1" x14ac:dyDescent="0.25">
      <c r="A40" s="35"/>
      <c r="E40" s="65"/>
      <c r="O40" s="49"/>
      <c r="Q40" s="49"/>
      <c r="S40" s="49"/>
      <c r="U40" s="49"/>
      <c r="W40" s="49"/>
      <c r="Y40" s="49"/>
      <c r="AA40" s="49"/>
      <c r="AC40" s="49"/>
      <c r="AE40" s="49"/>
      <c r="AG40" s="49"/>
      <c r="AI40" s="49"/>
    </row>
    <row r="41" spans="1:36" s="1" customFormat="1" ht="23.25" customHeight="1" x14ac:dyDescent="0.25">
      <c r="A41" s="89" t="s">
        <v>64</v>
      </c>
      <c r="B41" s="90"/>
      <c r="C41" s="90"/>
      <c r="D41" s="90"/>
      <c r="E41" s="90"/>
      <c r="F41" s="101">
        <v>0</v>
      </c>
      <c r="G41" s="101">
        <v>0.7</v>
      </c>
      <c r="H41" s="101">
        <v>0.7</v>
      </c>
      <c r="I41" s="101">
        <v>0.7</v>
      </c>
      <c r="J41" s="101">
        <v>0.7</v>
      </c>
      <c r="K41" s="101">
        <v>0.7</v>
      </c>
      <c r="L41" s="101">
        <v>0.7</v>
      </c>
      <c r="M41" s="101">
        <v>0.7</v>
      </c>
      <c r="N41" s="101">
        <v>0.7</v>
      </c>
      <c r="O41" s="101">
        <v>0.7</v>
      </c>
      <c r="P41" s="101">
        <v>0.7</v>
      </c>
      <c r="Q41" s="101">
        <v>0.7</v>
      </c>
      <c r="R41" s="101">
        <v>0.7</v>
      </c>
      <c r="S41" s="101">
        <v>0.7</v>
      </c>
      <c r="T41" s="101">
        <v>0.7</v>
      </c>
      <c r="U41" s="101">
        <v>0.7</v>
      </c>
      <c r="V41" s="101">
        <v>0.7</v>
      </c>
      <c r="W41" s="101">
        <v>0.7</v>
      </c>
      <c r="X41" s="101">
        <v>0.7</v>
      </c>
      <c r="Y41" s="101">
        <v>0.7</v>
      </c>
      <c r="Z41" s="101">
        <v>0.7</v>
      </c>
      <c r="AA41" s="101">
        <v>0.7</v>
      </c>
      <c r="AB41" s="101">
        <v>0.7</v>
      </c>
      <c r="AC41" s="101">
        <v>0.7</v>
      </c>
      <c r="AD41" s="101">
        <v>0.7</v>
      </c>
      <c r="AE41" s="101">
        <v>0.7</v>
      </c>
      <c r="AF41" s="101">
        <v>0.7</v>
      </c>
      <c r="AG41" s="101">
        <v>0.7</v>
      </c>
      <c r="AH41" s="101">
        <v>0.7</v>
      </c>
      <c r="AI41" s="101">
        <v>0.7</v>
      </c>
      <c r="AJ41" s="101"/>
    </row>
    <row r="42" spans="1:36" s="1" customFormat="1" ht="23.25" customHeight="1" thickBot="1" x14ac:dyDescent="0.3">
      <c r="A42" s="58" t="s">
        <v>65</v>
      </c>
      <c r="B42" s="59"/>
      <c r="C42" s="59"/>
      <c r="D42" s="59"/>
      <c r="E42" s="155">
        <v>300</v>
      </c>
      <c r="F42" s="103">
        <f t="shared" ref="F42:O42" si="34">$E$42*F41</f>
        <v>0</v>
      </c>
      <c r="G42" s="103">
        <f t="shared" si="34"/>
        <v>210</v>
      </c>
      <c r="H42" s="103">
        <f t="shared" si="34"/>
        <v>210</v>
      </c>
      <c r="I42" s="103">
        <f t="shared" si="34"/>
        <v>210</v>
      </c>
      <c r="J42" s="103">
        <f t="shared" si="34"/>
        <v>210</v>
      </c>
      <c r="K42" s="103">
        <f t="shared" si="34"/>
        <v>210</v>
      </c>
      <c r="L42" s="103">
        <f t="shared" si="34"/>
        <v>210</v>
      </c>
      <c r="M42" s="103">
        <f t="shared" si="34"/>
        <v>210</v>
      </c>
      <c r="N42" s="103">
        <f t="shared" si="34"/>
        <v>210</v>
      </c>
      <c r="O42" s="104">
        <f t="shared" si="34"/>
        <v>210</v>
      </c>
      <c r="P42" s="103">
        <f t="shared" ref="P42:AA42" si="35">$E$42*P41</f>
        <v>210</v>
      </c>
      <c r="Q42" s="104">
        <f t="shared" si="35"/>
        <v>210</v>
      </c>
      <c r="R42" s="103">
        <f t="shared" si="35"/>
        <v>210</v>
      </c>
      <c r="S42" s="104">
        <f t="shared" si="35"/>
        <v>210</v>
      </c>
      <c r="T42" s="103">
        <f t="shared" si="35"/>
        <v>210</v>
      </c>
      <c r="U42" s="104">
        <f t="shared" si="35"/>
        <v>210</v>
      </c>
      <c r="V42" s="103">
        <f t="shared" si="35"/>
        <v>210</v>
      </c>
      <c r="W42" s="104">
        <f t="shared" si="35"/>
        <v>210</v>
      </c>
      <c r="X42" s="103">
        <f t="shared" si="35"/>
        <v>210</v>
      </c>
      <c r="Y42" s="104">
        <f t="shared" si="35"/>
        <v>210</v>
      </c>
      <c r="Z42" s="103">
        <f t="shared" si="35"/>
        <v>210</v>
      </c>
      <c r="AA42" s="104">
        <f t="shared" si="35"/>
        <v>210</v>
      </c>
      <c r="AB42" s="103">
        <f t="shared" ref="AB42:AI42" si="36">$E$42*AB41</f>
        <v>210</v>
      </c>
      <c r="AC42" s="104">
        <f t="shared" si="36"/>
        <v>210</v>
      </c>
      <c r="AD42" s="103">
        <f t="shared" si="36"/>
        <v>210</v>
      </c>
      <c r="AE42" s="104">
        <f t="shared" si="36"/>
        <v>210</v>
      </c>
      <c r="AF42" s="103">
        <f t="shared" si="36"/>
        <v>210</v>
      </c>
      <c r="AG42" s="104">
        <f t="shared" si="36"/>
        <v>210</v>
      </c>
      <c r="AH42" s="103">
        <f t="shared" si="36"/>
        <v>210</v>
      </c>
      <c r="AI42" s="104">
        <f t="shared" si="36"/>
        <v>210</v>
      </c>
      <c r="AJ42" s="103"/>
    </row>
    <row r="43" spans="1:36" s="1" customFormat="1" ht="23.25" customHeight="1" thickBot="1" x14ac:dyDescent="0.25">
      <c r="A43" s="35"/>
      <c r="E43" s="65"/>
      <c r="O43" s="49"/>
      <c r="Q43" s="49"/>
      <c r="S43" s="49"/>
      <c r="U43" s="49"/>
      <c r="W43" s="49"/>
      <c r="Y43" s="49"/>
      <c r="AA43" s="49"/>
      <c r="AC43" s="49"/>
      <c r="AE43" s="49"/>
      <c r="AG43" s="49"/>
      <c r="AI43" s="49"/>
    </row>
    <row r="44" spans="1:36" s="1" customFormat="1" ht="23.25" customHeight="1" x14ac:dyDescent="0.25">
      <c r="A44" s="89" t="s">
        <v>66</v>
      </c>
      <c r="B44" s="90"/>
      <c r="C44" s="90"/>
      <c r="D44" s="90"/>
      <c r="E44" s="90"/>
      <c r="F44" s="101">
        <v>0</v>
      </c>
      <c r="G44" s="101">
        <v>0.7</v>
      </c>
      <c r="H44" s="101">
        <v>0.7</v>
      </c>
      <c r="I44" s="101">
        <v>0.7</v>
      </c>
      <c r="J44" s="101">
        <v>0.7</v>
      </c>
      <c r="K44" s="101">
        <v>0.7</v>
      </c>
      <c r="L44" s="101">
        <v>0.7</v>
      </c>
      <c r="M44" s="101">
        <v>0.7</v>
      </c>
      <c r="N44" s="101">
        <v>0.7</v>
      </c>
      <c r="O44" s="101">
        <v>0.7</v>
      </c>
      <c r="P44" s="101">
        <v>0.7</v>
      </c>
      <c r="Q44" s="101">
        <v>0.7</v>
      </c>
      <c r="R44" s="101">
        <v>0.7</v>
      </c>
      <c r="S44" s="101">
        <v>0.7</v>
      </c>
      <c r="T44" s="101">
        <v>0.7</v>
      </c>
      <c r="U44" s="101">
        <v>0.7</v>
      </c>
      <c r="V44" s="101">
        <v>0.7</v>
      </c>
      <c r="W44" s="101">
        <v>0.7</v>
      </c>
      <c r="X44" s="101">
        <v>0.7</v>
      </c>
      <c r="Y44" s="101">
        <v>0.7</v>
      </c>
      <c r="Z44" s="101">
        <v>0.7</v>
      </c>
      <c r="AA44" s="101">
        <v>0.7</v>
      </c>
      <c r="AB44" s="101">
        <v>0.7</v>
      </c>
      <c r="AC44" s="101">
        <v>0.7</v>
      </c>
      <c r="AD44" s="101">
        <v>0.7</v>
      </c>
      <c r="AE44" s="101">
        <v>0.7</v>
      </c>
      <c r="AF44" s="101">
        <v>0.7</v>
      </c>
      <c r="AG44" s="101">
        <v>0.7</v>
      </c>
      <c r="AH44" s="101">
        <v>0.7</v>
      </c>
      <c r="AI44" s="101">
        <v>0.7</v>
      </c>
      <c r="AJ44" s="101"/>
    </row>
    <row r="45" spans="1:36" s="1" customFormat="1" ht="23.25" customHeight="1" thickBot="1" x14ac:dyDescent="0.3">
      <c r="A45" s="58" t="s">
        <v>67</v>
      </c>
      <c r="B45" s="59"/>
      <c r="C45" s="59"/>
      <c r="D45" s="59"/>
      <c r="E45" s="155">
        <v>300</v>
      </c>
      <c r="F45" s="103">
        <f t="shared" ref="F45:O45" si="37">$E$45*F44</f>
        <v>0</v>
      </c>
      <c r="G45" s="103">
        <f t="shared" si="37"/>
        <v>210</v>
      </c>
      <c r="H45" s="103">
        <f t="shared" si="37"/>
        <v>210</v>
      </c>
      <c r="I45" s="103">
        <f t="shared" si="37"/>
        <v>210</v>
      </c>
      <c r="J45" s="103">
        <f t="shared" si="37"/>
        <v>210</v>
      </c>
      <c r="K45" s="103">
        <f t="shared" si="37"/>
        <v>210</v>
      </c>
      <c r="L45" s="103">
        <f t="shared" si="37"/>
        <v>210</v>
      </c>
      <c r="M45" s="103">
        <f t="shared" si="37"/>
        <v>210</v>
      </c>
      <c r="N45" s="103">
        <f t="shared" si="37"/>
        <v>210</v>
      </c>
      <c r="O45" s="104">
        <f t="shared" si="37"/>
        <v>210</v>
      </c>
      <c r="P45" s="103">
        <f t="shared" ref="P45:AA45" si="38">$E$45*P44</f>
        <v>210</v>
      </c>
      <c r="Q45" s="104">
        <f t="shared" si="38"/>
        <v>210</v>
      </c>
      <c r="R45" s="103">
        <f t="shared" si="38"/>
        <v>210</v>
      </c>
      <c r="S45" s="104">
        <f t="shared" si="38"/>
        <v>210</v>
      </c>
      <c r="T45" s="103">
        <f t="shared" si="38"/>
        <v>210</v>
      </c>
      <c r="U45" s="104">
        <f t="shared" si="38"/>
        <v>210</v>
      </c>
      <c r="V45" s="103">
        <f t="shared" si="38"/>
        <v>210</v>
      </c>
      <c r="W45" s="104">
        <f t="shared" si="38"/>
        <v>210</v>
      </c>
      <c r="X45" s="103">
        <f t="shared" si="38"/>
        <v>210</v>
      </c>
      <c r="Y45" s="104">
        <f t="shared" si="38"/>
        <v>210</v>
      </c>
      <c r="Z45" s="103">
        <f t="shared" si="38"/>
        <v>210</v>
      </c>
      <c r="AA45" s="104">
        <f t="shared" si="38"/>
        <v>210</v>
      </c>
      <c r="AB45" s="103">
        <f t="shared" ref="AB45:AI45" si="39">$E$45*AB44</f>
        <v>210</v>
      </c>
      <c r="AC45" s="104">
        <f t="shared" si="39"/>
        <v>210</v>
      </c>
      <c r="AD45" s="103">
        <f t="shared" si="39"/>
        <v>210</v>
      </c>
      <c r="AE45" s="104">
        <f t="shared" si="39"/>
        <v>210</v>
      </c>
      <c r="AF45" s="103">
        <f t="shared" si="39"/>
        <v>210</v>
      </c>
      <c r="AG45" s="104">
        <f t="shared" si="39"/>
        <v>210</v>
      </c>
      <c r="AH45" s="103">
        <f t="shared" si="39"/>
        <v>210</v>
      </c>
      <c r="AI45" s="104">
        <f t="shared" si="39"/>
        <v>210</v>
      </c>
      <c r="AJ45" s="103"/>
    </row>
    <row r="46" spans="1:36" s="1" customFormat="1" ht="23.25" customHeight="1" thickBot="1" x14ac:dyDescent="0.25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34"/>
      <c r="P46" s="19"/>
      <c r="Q46" s="34"/>
      <c r="R46" s="19"/>
      <c r="S46" s="34"/>
      <c r="T46" s="19"/>
      <c r="U46" s="34"/>
      <c r="V46" s="19"/>
      <c r="W46" s="34"/>
      <c r="X46" s="19"/>
      <c r="Y46" s="34"/>
      <c r="Z46" s="19"/>
      <c r="AA46" s="34"/>
      <c r="AB46" s="19"/>
      <c r="AC46" s="34"/>
      <c r="AD46" s="19"/>
      <c r="AE46" s="34"/>
      <c r="AF46" s="19"/>
      <c r="AG46" s="34"/>
      <c r="AH46" s="19"/>
      <c r="AI46" s="34"/>
      <c r="AJ46" s="19"/>
    </row>
    <row r="47" spans="1:36" s="1" customFormat="1" ht="23.25" customHeight="1" thickBot="1" x14ac:dyDescent="0.3">
      <c r="A47" s="86" t="s">
        <v>19</v>
      </c>
      <c r="E47" s="66"/>
      <c r="F47" s="66">
        <v>0.05</v>
      </c>
      <c r="G47" s="66">
        <v>0.08</v>
      </c>
      <c r="H47" s="66">
        <v>0.11</v>
      </c>
      <c r="I47" s="66">
        <v>0.14000000000000001</v>
      </c>
      <c r="J47" s="66">
        <v>0.17</v>
      </c>
      <c r="K47" s="66">
        <v>0.2</v>
      </c>
      <c r="L47" s="66">
        <v>0.23</v>
      </c>
      <c r="M47" s="66">
        <v>0.26</v>
      </c>
      <c r="N47" s="66">
        <v>0.28999999999999998</v>
      </c>
      <c r="O47" s="24">
        <v>0.32</v>
      </c>
      <c r="P47" s="66">
        <v>0.35</v>
      </c>
      <c r="Q47" s="24">
        <v>0.38</v>
      </c>
      <c r="R47" s="66">
        <v>0.41</v>
      </c>
      <c r="S47" s="24">
        <v>0.44</v>
      </c>
      <c r="T47" s="66">
        <v>0.47</v>
      </c>
      <c r="U47" s="24">
        <v>0.5</v>
      </c>
      <c r="V47" s="66">
        <v>0.53</v>
      </c>
      <c r="W47" s="24">
        <v>0.56000000000000005</v>
      </c>
      <c r="X47" s="66">
        <v>0.59</v>
      </c>
      <c r="Y47" s="24">
        <v>0.62</v>
      </c>
      <c r="Z47" s="66">
        <v>0.65</v>
      </c>
      <c r="AA47" s="24">
        <v>0.68</v>
      </c>
      <c r="AB47" s="66">
        <v>0.71</v>
      </c>
      <c r="AC47" s="24">
        <v>0.74</v>
      </c>
      <c r="AD47" s="66">
        <v>0.77</v>
      </c>
      <c r="AE47" s="24">
        <v>0.8</v>
      </c>
      <c r="AF47" s="66">
        <v>0.83</v>
      </c>
      <c r="AG47" s="24">
        <v>0.86</v>
      </c>
      <c r="AH47" s="66">
        <v>0.89</v>
      </c>
      <c r="AI47" s="24">
        <v>0.92</v>
      </c>
      <c r="AJ47" s="66"/>
    </row>
    <row r="48" spans="1:36" s="1" customFormat="1" ht="23.25" customHeight="1" x14ac:dyDescent="0.25">
      <c r="A48" s="89" t="s">
        <v>20</v>
      </c>
      <c r="B48" s="90"/>
      <c r="C48" s="90"/>
      <c r="D48" s="90"/>
      <c r="E48" s="91"/>
      <c r="F48" s="14">
        <f>SUM(F49:F51)</f>
        <v>0</v>
      </c>
      <c r="G48" s="3">
        <f>SUM(G49:G51)</f>
        <v>33.6</v>
      </c>
      <c r="H48" s="3">
        <f>SUM(H49:H51)</f>
        <v>46.2</v>
      </c>
      <c r="I48" s="3">
        <f>SUM(I49:I51)</f>
        <v>58.800000000000004</v>
      </c>
      <c r="J48" s="3">
        <f t="shared" ref="J48:N48" si="40">SUM(J49:J51)</f>
        <v>71.400000000000006</v>
      </c>
      <c r="K48" s="3">
        <f t="shared" si="40"/>
        <v>84</v>
      </c>
      <c r="L48" s="3">
        <f t="shared" si="40"/>
        <v>96.600000000000009</v>
      </c>
      <c r="M48" s="3">
        <f t="shared" si="40"/>
        <v>109.2</v>
      </c>
      <c r="N48" s="3">
        <f t="shared" si="40"/>
        <v>121.8</v>
      </c>
      <c r="O48" s="27">
        <f>SUM(O49:O51)</f>
        <v>134.4</v>
      </c>
      <c r="P48" s="3">
        <f t="shared" ref="P48:Z48" si="41">SUM(P49:P51)</f>
        <v>147</v>
      </c>
      <c r="Q48" s="27">
        <f t="shared" si="41"/>
        <v>159.6</v>
      </c>
      <c r="R48" s="3">
        <f t="shared" si="41"/>
        <v>172.2</v>
      </c>
      <c r="S48" s="27">
        <f t="shared" si="41"/>
        <v>184.8</v>
      </c>
      <c r="T48" s="3">
        <f t="shared" si="41"/>
        <v>197.39999999999998</v>
      </c>
      <c r="U48" s="27">
        <f t="shared" si="41"/>
        <v>210</v>
      </c>
      <c r="V48" s="3">
        <f t="shared" si="41"/>
        <v>222.60000000000002</v>
      </c>
      <c r="W48" s="27">
        <f t="shared" si="41"/>
        <v>235.20000000000002</v>
      </c>
      <c r="X48" s="3">
        <f t="shared" si="41"/>
        <v>247.79999999999998</v>
      </c>
      <c r="Y48" s="27">
        <f t="shared" si="41"/>
        <v>260.39999999999998</v>
      </c>
      <c r="Z48" s="3">
        <f t="shared" si="41"/>
        <v>273</v>
      </c>
      <c r="AA48" s="27">
        <f>SUM(AA49:AA51)</f>
        <v>285.60000000000002</v>
      </c>
      <c r="AB48" s="3">
        <f t="shared" ref="AB48:AI48" si="42">SUM(AB49:AB51)</f>
        <v>298.2</v>
      </c>
      <c r="AC48" s="27">
        <f t="shared" si="42"/>
        <v>310.8</v>
      </c>
      <c r="AD48" s="3">
        <f t="shared" si="42"/>
        <v>323.40000000000003</v>
      </c>
      <c r="AE48" s="27">
        <f t="shared" si="42"/>
        <v>336</v>
      </c>
      <c r="AF48" s="3">
        <f t="shared" si="42"/>
        <v>348.59999999999997</v>
      </c>
      <c r="AG48" s="27">
        <f t="shared" si="42"/>
        <v>361.2</v>
      </c>
      <c r="AH48" s="3">
        <f t="shared" si="42"/>
        <v>373.8</v>
      </c>
      <c r="AI48" s="27">
        <f t="shared" si="42"/>
        <v>386.40000000000003</v>
      </c>
      <c r="AJ48" s="3"/>
    </row>
    <row r="49" spans="1:36" s="1" customFormat="1" ht="23.25" customHeight="1" x14ac:dyDescent="0.25">
      <c r="A49" s="92" t="s">
        <v>68</v>
      </c>
      <c r="B49" s="93"/>
      <c r="C49" s="93"/>
      <c r="D49" s="93"/>
      <c r="E49" s="94"/>
      <c r="F49" s="3">
        <f t="shared" ref="F49:O49" si="43">F39*F47</f>
        <v>0</v>
      </c>
      <c r="G49" s="3">
        <f t="shared" si="43"/>
        <v>0</v>
      </c>
      <c r="H49" s="3">
        <f t="shared" si="43"/>
        <v>0</v>
      </c>
      <c r="I49" s="3">
        <f t="shared" si="43"/>
        <v>0</v>
      </c>
      <c r="J49" s="3">
        <f t="shared" si="43"/>
        <v>0</v>
      </c>
      <c r="K49" s="3">
        <f t="shared" si="43"/>
        <v>0</v>
      </c>
      <c r="L49" s="3">
        <f t="shared" si="43"/>
        <v>0</v>
      </c>
      <c r="M49" s="3">
        <f t="shared" si="43"/>
        <v>0</v>
      </c>
      <c r="N49" s="3">
        <f t="shared" si="43"/>
        <v>0</v>
      </c>
      <c r="O49" s="27">
        <f t="shared" si="43"/>
        <v>0</v>
      </c>
      <c r="P49" s="3">
        <f t="shared" ref="P49:AA49" si="44">P39*P47</f>
        <v>0</v>
      </c>
      <c r="Q49" s="27">
        <f t="shared" si="44"/>
        <v>0</v>
      </c>
      <c r="R49" s="3">
        <f t="shared" si="44"/>
        <v>0</v>
      </c>
      <c r="S49" s="27">
        <f t="shared" si="44"/>
        <v>0</v>
      </c>
      <c r="T49" s="3">
        <f t="shared" si="44"/>
        <v>0</v>
      </c>
      <c r="U49" s="27">
        <f t="shared" si="44"/>
        <v>0</v>
      </c>
      <c r="V49" s="3">
        <f t="shared" si="44"/>
        <v>0</v>
      </c>
      <c r="W49" s="27">
        <f t="shared" si="44"/>
        <v>0</v>
      </c>
      <c r="X49" s="3">
        <f t="shared" si="44"/>
        <v>0</v>
      </c>
      <c r="Y49" s="27">
        <f t="shared" si="44"/>
        <v>0</v>
      </c>
      <c r="Z49" s="3">
        <f t="shared" si="44"/>
        <v>0</v>
      </c>
      <c r="AA49" s="27">
        <f t="shared" si="44"/>
        <v>0</v>
      </c>
      <c r="AB49" s="3">
        <f t="shared" ref="AB49:AI49" si="45">AB39*AB47</f>
        <v>0</v>
      </c>
      <c r="AC49" s="27">
        <f t="shared" si="45"/>
        <v>0</v>
      </c>
      <c r="AD49" s="3">
        <f t="shared" si="45"/>
        <v>0</v>
      </c>
      <c r="AE49" s="27">
        <f t="shared" si="45"/>
        <v>0</v>
      </c>
      <c r="AF49" s="3">
        <f t="shared" si="45"/>
        <v>0</v>
      </c>
      <c r="AG49" s="27">
        <f t="shared" si="45"/>
        <v>0</v>
      </c>
      <c r="AH49" s="3">
        <f t="shared" si="45"/>
        <v>0</v>
      </c>
      <c r="AI49" s="27">
        <f t="shared" si="45"/>
        <v>0</v>
      </c>
      <c r="AJ49" s="3"/>
    </row>
    <row r="50" spans="1:36" s="1" customFormat="1" ht="23.25" customHeight="1" x14ac:dyDescent="0.25">
      <c r="A50" s="92" t="s">
        <v>69</v>
      </c>
      <c r="B50" s="93"/>
      <c r="C50" s="93"/>
      <c r="D50" s="93"/>
      <c r="E50" s="94"/>
      <c r="F50" s="3">
        <f t="shared" ref="F50:O50" si="46">(F42*F47)</f>
        <v>0</v>
      </c>
      <c r="G50" s="3">
        <f t="shared" si="46"/>
        <v>16.8</v>
      </c>
      <c r="H50" s="3">
        <f t="shared" si="46"/>
        <v>23.1</v>
      </c>
      <c r="I50" s="3">
        <f t="shared" si="46"/>
        <v>29.400000000000002</v>
      </c>
      <c r="J50" s="3">
        <f t="shared" si="46"/>
        <v>35.700000000000003</v>
      </c>
      <c r="K50" s="3">
        <f t="shared" si="46"/>
        <v>42</v>
      </c>
      <c r="L50" s="3">
        <f t="shared" si="46"/>
        <v>48.300000000000004</v>
      </c>
      <c r="M50" s="3">
        <f t="shared" si="46"/>
        <v>54.6</v>
      </c>
      <c r="N50" s="3">
        <f t="shared" si="46"/>
        <v>60.9</v>
      </c>
      <c r="O50" s="27">
        <f t="shared" si="46"/>
        <v>67.2</v>
      </c>
      <c r="P50" s="3">
        <f t="shared" ref="P50:AA50" si="47">(P42*P47)</f>
        <v>73.5</v>
      </c>
      <c r="Q50" s="27">
        <f t="shared" si="47"/>
        <v>79.8</v>
      </c>
      <c r="R50" s="3">
        <f t="shared" si="47"/>
        <v>86.1</v>
      </c>
      <c r="S50" s="27">
        <f t="shared" si="47"/>
        <v>92.4</v>
      </c>
      <c r="T50" s="3">
        <f t="shared" si="47"/>
        <v>98.699999999999989</v>
      </c>
      <c r="U50" s="27">
        <f t="shared" si="47"/>
        <v>105</v>
      </c>
      <c r="V50" s="3">
        <f t="shared" si="47"/>
        <v>111.30000000000001</v>
      </c>
      <c r="W50" s="27">
        <f t="shared" si="47"/>
        <v>117.60000000000001</v>
      </c>
      <c r="X50" s="3">
        <f t="shared" si="47"/>
        <v>123.89999999999999</v>
      </c>
      <c r="Y50" s="27">
        <f t="shared" si="47"/>
        <v>130.19999999999999</v>
      </c>
      <c r="Z50" s="3">
        <f t="shared" si="47"/>
        <v>136.5</v>
      </c>
      <c r="AA50" s="27">
        <f t="shared" si="47"/>
        <v>142.80000000000001</v>
      </c>
      <c r="AB50" s="3">
        <f t="shared" ref="AB50:AI50" si="48">(AB42*AB47)</f>
        <v>149.1</v>
      </c>
      <c r="AC50" s="27">
        <f t="shared" si="48"/>
        <v>155.4</v>
      </c>
      <c r="AD50" s="3">
        <f t="shared" si="48"/>
        <v>161.70000000000002</v>
      </c>
      <c r="AE50" s="27">
        <f t="shared" si="48"/>
        <v>168</v>
      </c>
      <c r="AF50" s="3">
        <f t="shared" si="48"/>
        <v>174.29999999999998</v>
      </c>
      <c r="AG50" s="27">
        <f t="shared" si="48"/>
        <v>180.6</v>
      </c>
      <c r="AH50" s="3">
        <f t="shared" si="48"/>
        <v>186.9</v>
      </c>
      <c r="AI50" s="27">
        <f t="shared" si="48"/>
        <v>193.20000000000002</v>
      </c>
      <c r="AJ50" s="3"/>
    </row>
    <row r="51" spans="1:36" s="1" customFormat="1" ht="23.25" customHeight="1" thickBot="1" x14ac:dyDescent="0.3">
      <c r="A51" s="58" t="s">
        <v>70</v>
      </c>
      <c r="B51" s="59"/>
      <c r="C51" s="59"/>
      <c r="D51" s="59"/>
      <c r="E51" s="64"/>
      <c r="F51" s="29">
        <f t="shared" ref="F51:O51" si="49">(F45*F47)</f>
        <v>0</v>
      </c>
      <c r="G51" s="29">
        <f t="shared" si="49"/>
        <v>16.8</v>
      </c>
      <c r="H51" s="29">
        <f t="shared" si="49"/>
        <v>23.1</v>
      </c>
      <c r="I51" s="29">
        <f t="shared" si="49"/>
        <v>29.400000000000002</v>
      </c>
      <c r="J51" s="29">
        <f t="shared" si="49"/>
        <v>35.700000000000003</v>
      </c>
      <c r="K51" s="29">
        <f t="shared" si="49"/>
        <v>42</v>
      </c>
      <c r="L51" s="29">
        <f t="shared" si="49"/>
        <v>48.300000000000004</v>
      </c>
      <c r="M51" s="29">
        <f t="shared" si="49"/>
        <v>54.6</v>
      </c>
      <c r="N51" s="29">
        <f t="shared" si="49"/>
        <v>60.9</v>
      </c>
      <c r="O51" s="30">
        <f t="shared" si="49"/>
        <v>67.2</v>
      </c>
      <c r="P51" s="29">
        <f t="shared" ref="P51:AA51" si="50">(P45*P47)</f>
        <v>73.5</v>
      </c>
      <c r="Q51" s="30">
        <f t="shared" si="50"/>
        <v>79.8</v>
      </c>
      <c r="R51" s="29">
        <f t="shared" si="50"/>
        <v>86.1</v>
      </c>
      <c r="S51" s="30">
        <f t="shared" si="50"/>
        <v>92.4</v>
      </c>
      <c r="T51" s="29">
        <f t="shared" si="50"/>
        <v>98.699999999999989</v>
      </c>
      <c r="U51" s="30">
        <f t="shared" si="50"/>
        <v>105</v>
      </c>
      <c r="V51" s="29">
        <f t="shared" si="50"/>
        <v>111.30000000000001</v>
      </c>
      <c r="W51" s="30">
        <f t="shared" si="50"/>
        <v>117.60000000000001</v>
      </c>
      <c r="X51" s="29">
        <f t="shared" si="50"/>
        <v>123.89999999999999</v>
      </c>
      <c r="Y51" s="30">
        <f t="shared" si="50"/>
        <v>130.19999999999999</v>
      </c>
      <c r="Z51" s="29">
        <f t="shared" si="50"/>
        <v>136.5</v>
      </c>
      <c r="AA51" s="30">
        <f t="shared" si="50"/>
        <v>142.80000000000001</v>
      </c>
      <c r="AB51" s="29">
        <f t="shared" ref="AB51:AI51" si="51">(AB45*AB47)</f>
        <v>149.1</v>
      </c>
      <c r="AC51" s="30">
        <f t="shared" si="51"/>
        <v>155.4</v>
      </c>
      <c r="AD51" s="29">
        <f t="shared" si="51"/>
        <v>161.70000000000002</v>
      </c>
      <c r="AE51" s="30">
        <f t="shared" si="51"/>
        <v>168</v>
      </c>
      <c r="AF51" s="29">
        <f t="shared" si="51"/>
        <v>174.29999999999998</v>
      </c>
      <c r="AG51" s="30">
        <f t="shared" si="51"/>
        <v>180.6</v>
      </c>
      <c r="AH51" s="29">
        <f t="shared" si="51"/>
        <v>186.9</v>
      </c>
      <c r="AI51" s="30">
        <f t="shared" si="51"/>
        <v>193.20000000000002</v>
      </c>
      <c r="AJ51" s="29"/>
    </row>
    <row r="52" spans="1:36" s="1" customFormat="1" ht="23.25" customHeight="1" x14ac:dyDescent="0.2">
      <c r="A52" s="10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108"/>
      <c r="P52" s="32"/>
      <c r="Q52" s="108"/>
      <c r="R52" s="32"/>
      <c r="S52" s="108"/>
      <c r="T52" s="32"/>
      <c r="U52" s="108"/>
      <c r="V52" s="32"/>
      <c r="W52" s="108"/>
      <c r="X52" s="32"/>
      <c r="Y52" s="108"/>
      <c r="Z52" s="32"/>
      <c r="AA52" s="108"/>
      <c r="AB52" s="32"/>
      <c r="AC52" s="108"/>
      <c r="AD52" s="32"/>
      <c r="AE52" s="108"/>
      <c r="AF52" s="32"/>
      <c r="AG52" s="108"/>
      <c r="AH52" s="32"/>
      <c r="AI52" s="108"/>
      <c r="AJ52" s="32"/>
    </row>
    <row r="53" spans="1:36" s="1" customFormat="1" ht="23.25" customHeight="1" x14ac:dyDescent="0.25">
      <c r="A53" s="87" t="s">
        <v>46</v>
      </c>
      <c r="B53" s="88"/>
      <c r="C53" s="88"/>
      <c r="D53" s="70"/>
      <c r="E53" s="70"/>
      <c r="O53" s="49"/>
      <c r="Q53" s="49"/>
      <c r="S53" s="49"/>
      <c r="U53" s="49"/>
      <c r="W53" s="49"/>
      <c r="Y53" s="49"/>
      <c r="AA53" s="49"/>
      <c r="AC53" s="49"/>
      <c r="AE53" s="49"/>
      <c r="AG53" s="49"/>
      <c r="AI53" s="49"/>
    </row>
    <row r="54" spans="1:36" s="1" customFormat="1" ht="23.25" customHeight="1" x14ac:dyDescent="0.2">
      <c r="A54" s="35"/>
      <c r="E54" s="66"/>
      <c r="F54" s="4">
        <v>2023</v>
      </c>
      <c r="G54" s="4">
        <f>F54+1</f>
        <v>2024</v>
      </c>
      <c r="H54" s="4">
        <f t="shared" ref="H54:O54" si="52">G54+1</f>
        <v>2025</v>
      </c>
      <c r="I54" s="4">
        <f t="shared" si="52"/>
        <v>2026</v>
      </c>
      <c r="J54" s="4">
        <f t="shared" si="52"/>
        <v>2027</v>
      </c>
      <c r="K54" s="4">
        <f t="shared" si="52"/>
        <v>2028</v>
      </c>
      <c r="L54" s="4">
        <f t="shared" si="52"/>
        <v>2029</v>
      </c>
      <c r="M54" s="4">
        <f t="shared" si="52"/>
        <v>2030</v>
      </c>
      <c r="N54" s="4">
        <f t="shared" si="52"/>
        <v>2031</v>
      </c>
      <c r="O54" s="36">
        <f t="shared" si="52"/>
        <v>2032</v>
      </c>
      <c r="P54" s="4">
        <f t="shared" ref="P54" si="53">O54+1</f>
        <v>2033</v>
      </c>
      <c r="Q54" s="36">
        <f t="shared" ref="Q54" si="54">P54+1</f>
        <v>2034</v>
      </c>
      <c r="R54" s="4">
        <f t="shared" ref="R54" si="55">Q54+1</f>
        <v>2035</v>
      </c>
      <c r="S54" s="36">
        <f t="shared" ref="S54" si="56">R54+1</f>
        <v>2036</v>
      </c>
      <c r="T54" s="4">
        <f t="shared" ref="T54" si="57">S54+1</f>
        <v>2037</v>
      </c>
      <c r="U54" s="36">
        <f t="shared" ref="U54" si="58">T54+1</f>
        <v>2038</v>
      </c>
      <c r="V54" s="4">
        <f t="shared" ref="V54" si="59">U54+1</f>
        <v>2039</v>
      </c>
      <c r="W54" s="36">
        <f t="shared" ref="W54" si="60">V54+1</f>
        <v>2040</v>
      </c>
      <c r="X54" s="4">
        <f t="shared" ref="X54" si="61">W54+1</f>
        <v>2041</v>
      </c>
      <c r="Y54" s="36">
        <f t="shared" ref="Y54" si="62">X54+1</f>
        <v>2042</v>
      </c>
      <c r="Z54" s="4">
        <f t="shared" ref="Z54" si="63">Y54+1</f>
        <v>2043</v>
      </c>
      <c r="AA54" s="36">
        <f t="shared" ref="AA54" si="64">Z54+1</f>
        <v>2044</v>
      </c>
      <c r="AB54" s="4">
        <f t="shared" ref="AB54" si="65">AA54+1</f>
        <v>2045</v>
      </c>
      <c r="AC54" s="36">
        <f t="shared" ref="AC54" si="66">AB54+1</f>
        <v>2046</v>
      </c>
      <c r="AD54" s="4">
        <f t="shared" ref="AD54" si="67">AC54+1</f>
        <v>2047</v>
      </c>
      <c r="AE54" s="36">
        <f t="shared" ref="AE54" si="68">AD54+1</f>
        <v>2048</v>
      </c>
      <c r="AF54" s="4">
        <f t="shared" ref="AF54" si="69">AE54+1</f>
        <v>2049</v>
      </c>
      <c r="AG54" s="36">
        <f t="shared" ref="AG54" si="70">AF54+1</f>
        <v>2050</v>
      </c>
      <c r="AH54" s="4">
        <f t="shared" ref="AH54" si="71">AG54+1</f>
        <v>2051</v>
      </c>
      <c r="AI54" s="36">
        <f t="shared" ref="AI54" si="72">AH54+1</f>
        <v>2052</v>
      </c>
      <c r="AJ54" s="4"/>
    </row>
    <row r="55" spans="1:36" s="1" customFormat="1" ht="23.25" customHeight="1" thickBot="1" x14ac:dyDescent="0.25">
      <c r="A55" s="95" t="s">
        <v>36</v>
      </c>
      <c r="E55" s="66"/>
      <c r="F55" s="66">
        <v>0.05</v>
      </c>
      <c r="G55" s="66">
        <v>0.08</v>
      </c>
      <c r="H55" s="66">
        <v>0.11</v>
      </c>
      <c r="I55" s="66">
        <v>0.14000000000000001</v>
      </c>
      <c r="J55" s="66">
        <v>0.17</v>
      </c>
      <c r="K55" s="66">
        <v>0.2</v>
      </c>
      <c r="L55" s="66">
        <v>0.23</v>
      </c>
      <c r="M55" s="66">
        <v>0.26</v>
      </c>
      <c r="N55" s="66">
        <v>0.28999999999999998</v>
      </c>
      <c r="O55" s="24">
        <v>0.32</v>
      </c>
      <c r="P55" s="66">
        <v>0.35</v>
      </c>
      <c r="Q55" s="24">
        <v>0.38</v>
      </c>
      <c r="R55" s="66">
        <v>0.41</v>
      </c>
      <c r="S55" s="24">
        <v>0.44</v>
      </c>
      <c r="T55" s="66">
        <v>0.47</v>
      </c>
      <c r="U55" s="24">
        <v>0.5</v>
      </c>
      <c r="V55" s="66">
        <v>0.53</v>
      </c>
      <c r="W55" s="24">
        <v>0.56000000000000005</v>
      </c>
      <c r="X55" s="66">
        <v>0.59</v>
      </c>
      <c r="Y55" s="24">
        <v>0.62</v>
      </c>
      <c r="Z55" s="66">
        <v>0.65</v>
      </c>
      <c r="AA55" s="24">
        <v>0.68</v>
      </c>
      <c r="AB55" s="66">
        <v>0.71</v>
      </c>
      <c r="AC55" s="24">
        <v>0.74</v>
      </c>
      <c r="AD55" s="66">
        <v>0.77</v>
      </c>
      <c r="AE55" s="24">
        <v>0.8</v>
      </c>
      <c r="AF55" s="66">
        <v>0.83</v>
      </c>
      <c r="AG55" s="24">
        <v>0.86</v>
      </c>
      <c r="AH55" s="66">
        <v>0.89</v>
      </c>
      <c r="AI55" s="24">
        <v>0.92</v>
      </c>
      <c r="AJ55" s="66"/>
    </row>
    <row r="56" spans="1:36" s="96" customFormat="1" ht="23.25" customHeight="1" thickBot="1" x14ac:dyDescent="0.3">
      <c r="A56" s="95" t="s">
        <v>17</v>
      </c>
      <c r="E56" s="97">
        <v>0.15</v>
      </c>
      <c r="F56" s="98"/>
      <c r="G56" s="98"/>
      <c r="H56" s="98"/>
      <c r="I56" s="98"/>
      <c r="J56" s="98"/>
      <c r="K56" s="98"/>
      <c r="L56" s="98"/>
      <c r="M56" s="98"/>
      <c r="N56" s="98"/>
      <c r="O56" s="99"/>
      <c r="P56" s="98"/>
      <c r="Q56" s="99"/>
      <c r="R56" s="98"/>
      <c r="S56" s="99"/>
      <c r="T56" s="98"/>
      <c r="U56" s="99"/>
      <c r="V56" s="98"/>
      <c r="W56" s="99"/>
      <c r="X56" s="98"/>
      <c r="Y56" s="99"/>
      <c r="Z56" s="98"/>
      <c r="AA56" s="99"/>
      <c r="AB56" s="98"/>
      <c r="AC56" s="99"/>
      <c r="AD56" s="98"/>
      <c r="AE56" s="99"/>
      <c r="AF56" s="98"/>
      <c r="AG56" s="99"/>
      <c r="AH56" s="98"/>
      <c r="AI56" s="99"/>
      <c r="AJ56" s="98"/>
    </row>
    <row r="57" spans="1:36" s="1" customFormat="1" ht="23.25" customHeight="1" thickBot="1" x14ac:dyDescent="0.3">
      <c r="A57" s="56" t="s">
        <v>16</v>
      </c>
      <c r="B57" s="57"/>
      <c r="C57" s="57"/>
      <c r="D57" s="57" t="s">
        <v>25</v>
      </c>
      <c r="E57" s="15">
        <f>E48*$E$56</f>
        <v>0</v>
      </c>
      <c r="F57" s="12">
        <f t="shared" ref="F57:O57" si="73">MIN(F48*$E$56,$E$29)</f>
        <v>0</v>
      </c>
      <c r="G57" s="12">
        <f>MIN(G48*$E$56,$E$29)</f>
        <v>4</v>
      </c>
      <c r="H57" s="12">
        <f t="shared" si="73"/>
        <v>4</v>
      </c>
      <c r="I57" s="12">
        <f t="shared" si="73"/>
        <v>4</v>
      </c>
      <c r="J57" s="12">
        <f t="shared" si="73"/>
        <v>4</v>
      </c>
      <c r="K57" s="12">
        <f t="shared" si="73"/>
        <v>4</v>
      </c>
      <c r="L57" s="12">
        <f t="shared" si="73"/>
        <v>4</v>
      </c>
      <c r="M57" s="12">
        <f t="shared" si="73"/>
        <v>4</v>
      </c>
      <c r="N57" s="12">
        <f t="shared" si="73"/>
        <v>4</v>
      </c>
      <c r="O57" s="12">
        <f t="shared" si="73"/>
        <v>4</v>
      </c>
      <c r="P57" s="12">
        <f t="shared" ref="P57:AA57" si="74">MIN(P48*$E$56,$E$29)</f>
        <v>4</v>
      </c>
      <c r="Q57" s="12">
        <f t="shared" si="74"/>
        <v>4</v>
      </c>
      <c r="R57" s="12">
        <f t="shared" si="74"/>
        <v>4</v>
      </c>
      <c r="S57" s="12">
        <f t="shared" si="74"/>
        <v>4</v>
      </c>
      <c r="T57" s="12">
        <f t="shared" si="74"/>
        <v>4</v>
      </c>
      <c r="U57" s="12">
        <f t="shared" si="74"/>
        <v>4</v>
      </c>
      <c r="V57" s="12">
        <f t="shared" si="74"/>
        <v>4</v>
      </c>
      <c r="W57" s="12">
        <f t="shared" si="74"/>
        <v>4</v>
      </c>
      <c r="X57" s="12">
        <f t="shared" si="74"/>
        <v>4</v>
      </c>
      <c r="Y57" s="12">
        <f t="shared" si="74"/>
        <v>4</v>
      </c>
      <c r="Z57" s="12">
        <f t="shared" si="74"/>
        <v>4</v>
      </c>
      <c r="AA57" s="12">
        <f t="shared" si="74"/>
        <v>4</v>
      </c>
      <c r="AB57" s="12">
        <f t="shared" ref="AB57:AI57" si="75">MIN(AB48*$E$56,$E$29)</f>
        <v>4</v>
      </c>
      <c r="AC57" s="12">
        <f t="shared" si="75"/>
        <v>4</v>
      </c>
      <c r="AD57" s="12">
        <f t="shared" si="75"/>
        <v>4</v>
      </c>
      <c r="AE57" s="12">
        <f t="shared" si="75"/>
        <v>4</v>
      </c>
      <c r="AF57" s="12">
        <f t="shared" si="75"/>
        <v>4</v>
      </c>
      <c r="AG57" s="12">
        <f t="shared" si="75"/>
        <v>4</v>
      </c>
      <c r="AH57" s="12">
        <f t="shared" si="75"/>
        <v>4</v>
      </c>
      <c r="AI57" s="12">
        <f t="shared" si="75"/>
        <v>4</v>
      </c>
      <c r="AJ57" s="12"/>
    </row>
    <row r="58" spans="1:36" s="1" customFormat="1" ht="24.75" x14ac:dyDescent="0.25">
      <c r="A58" s="157" t="s">
        <v>57</v>
      </c>
      <c r="B58" s="60"/>
      <c r="C58" s="60"/>
      <c r="D58" s="57" t="s">
        <v>23</v>
      </c>
      <c r="E58" s="16">
        <f>E49*$E$56</f>
        <v>0</v>
      </c>
      <c r="F58" s="13">
        <f t="shared" ref="F58:O58" si="76">F49*$E$56</f>
        <v>0</v>
      </c>
      <c r="G58" s="9">
        <f t="shared" si="76"/>
        <v>0</v>
      </c>
      <c r="H58" s="9">
        <f t="shared" si="76"/>
        <v>0</v>
      </c>
      <c r="I58" s="9">
        <f t="shared" si="76"/>
        <v>0</v>
      </c>
      <c r="J58" s="9">
        <f t="shared" si="76"/>
        <v>0</v>
      </c>
      <c r="K58" s="9">
        <f t="shared" si="76"/>
        <v>0</v>
      </c>
      <c r="L58" s="9">
        <f t="shared" si="76"/>
        <v>0</v>
      </c>
      <c r="M58" s="9">
        <f t="shared" si="76"/>
        <v>0</v>
      </c>
      <c r="N58" s="9">
        <f t="shared" si="76"/>
        <v>0</v>
      </c>
      <c r="O58" s="26">
        <f t="shared" si="76"/>
        <v>0</v>
      </c>
      <c r="P58" s="9">
        <f t="shared" ref="P58:AA58" si="77">P49*$E$56</f>
        <v>0</v>
      </c>
      <c r="Q58" s="26">
        <f t="shared" si="77"/>
        <v>0</v>
      </c>
      <c r="R58" s="9">
        <f t="shared" si="77"/>
        <v>0</v>
      </c>
      <c r="S58" s="26">
        <f t="shared" si="77"/>
        <v>0</v>
      </c>
      <c r="T58" s="9">
        <f t="shared" si="77"/>
        <v>0</v>
      </c>
      <c r="U58" s="26">
        <f t="shared" si="77"/>
        <v>0</v>
      </c>
      <c r="V58" s="9">
        <f t="shared" si="77"/>
        <v>0</v>
      </c>
      <c r="W58" s="26">
        <f t="shared" si="77"/>
        <v>0</v>
      </c>
      <c r="X58" s="9">
        <f t="shared" si="77"/>
        <v>0</v>
      </c>
      <c r="Y58" s="26">
        <f t="shared" si="77"/>
        <v>0</v>
      </c>
      <c r="Z58" s="9">
        <f t="shared" si="77"/>
        <v>0</v>
      </c>
      <c r="AA58" s="26">
        <f t="shared" si="77"/>
        <v>0</v>
      </c>
      <c r="AB58" s="9">
        <f t="shared" ref="AB58:AI58" si="78">AB49*$E$56</f>
        <v>0</v>
      </c>
      <c r="AC58" s="26">
        <f t="shared" si="78"/>
        <v>0</v>
      </c>
      <c r="AD58" s="9">
        <f t="shared" si="78"/>
        <v>0</v>
      </c>
      <c r="AE58" s="26">
        <f t="shared" si="78"/>
        <v>0</v>
      </c>
      <c r="AF58" s="9">
        <f t="shared" si="78"/>
        <v>0</v>
      </c>
      <c r="AG58" s="26">
        <f t="shared" si="78"/>
        <v>0</v>
      </c>
      <c r="AH58" s="9">
        <f t="shared" si="78"/>
        <v>0</v>
      </c>
      <c r="AI58" s="26">
        <f t="shared" si="78"/>
        <v>0</v>
      </c>
      <c r="AJ58" s="9"/>
    </row>
    <row r="59" spans="1:36" s="1" customFormat="1" ht="23.25" customHeight="1" x14ac:dyDescent="0.25">
      <c r="A59" s="157" t="s">
        <v>55</v>
      </c>
      <c r="B59" s="60"/>
      <c r="C59" s="60"/>
      <c r="D59" s="57" t="s">
        <v>21</v>
      </c>
      <c r="E59" s="17">
        <f>E50*$E$56</f>
        <v>0</v>
      </c>
      <c r="F59" s="14">
        <f t="shared" ref="F59:O59" si="79">F50*$E$56</f>
        <v>0</v>
      </c>
      <c r="G59" s="3">
        <f t="shared" si="79"/>
        <v>2.52</v>
      </c>
      <c r="H59" s="3">
        <f t="shared" si="79"/>
        <v>3.4650000000000003</v>
      </c>
      <c r="I59" s="3">
        <f t="shared" si="79"/>
        <v>4.41</v>
      </c>
      <c r="J59" s="3">
        <f t="shared" si="79"/>
        <v>5.3550000000000004</v>
      </c>
      <c r="K59" s="3">
        <f t="shared" si="79"/>
        <v>6.3</v>
      </c>
      <c r="L59" s="3">
        <f t="shared" si="79"/>
        <v>7.2450000000000001</v>
      </c>
      <c r="M59" s="3">
        <f t="shared" si="79"/>
        <v>8.19</v>
      </c>
      <c r="N59" s="3">
        <f t="shared" si="79"/>
        <v>9.1349999999999998</v>
      </c>
      <c r="O59" s="27">
        <f t="shared" si="79"/>
        <v>10.08</v>
      </c>
      <c r="P59" s="3">
        <f t="shared" ref="P59:AA59" si="80">P50*$E$56</f>
        <v>11.025</v>
      </c>
      <c r="Q59" s="27">
        <f t="shared" si="80"/>
        <v>11.969999999999999</v>
      </c>
      <c r="R59" s="3">
        <f t="shared" si="80"/>
        <v>12.914999999999999</v>
      </c>
      <c r="S59" s="27">
        <f t="shared" si="80"/>
        <v>13.860000000000001</v>
      </c>
      <c r="T59" s="3">
        <f t="shared" si="80"/>
        <v>14.804999999999998</v>
      </c>
      <c r="U59" s="27">
        <f t="shared" si="80"/>
        <v>15.75</v>
      </c>
      <c r="V59" s="3">
        <f t="shared" si="80"/>
        <v>16.695</v>
      </c>
      <c r="W59" s="27">
        <f t="shared" si="80"/>
        <v>17.64</v>
      </c>
      <c r="X59" s="3">
        <f t="shared" si="80"/>
        <v>18.584999999999997</v>
      </c>
      <c r="Y59" s="27">
        <f t="shared" si="80"/>
        <v>19.529999999999998</v>
      </c>
      <c r="Z59" s="3">
        <f t="shared" si="80"/>
        <v>20.474999999999998</v>
      </c>
      <c r="AA59" s="27">
        <f t="shared" si="80"/>
        <v>21.42</v>
      </c>
      <c r="AB59" s="3">
        <f t="shared" ref="AB59:AI59" si="81">AB50*$E$56</f>
        <v>22.364999999999998</v>
      </c>
      <c r="AC59" s="27">
        <f t="shared" si="81"/>
        <v>23.31</v>
      </c>
      <c r="AD59" s="3">
        <f t="shared" si="81"/>
        <v>24.255000000000003</v>
      </c>
      <c r="AE59" s="27">
        <f t="shared" si="81"/>
        <v>25.2</v>
      </c>
      <c r="AF59" s="3">
        <f t="shared" si="81"/>
        <v>26.144999999999996</v>
      </c>
      <c r="AG59" s="27">
        <f t="shared" si="81"/>
        <v>27.09</v>
      </c>
      <c r="AH59" s="3">
        <f t="shared" si="81"/>
        <v>28.035</v>
      </c>
      <c r="AI59" s="27">
        <f t="shared" si="81"/>
        <v>28.98</v>
      </c>
      <c r="AJ59" s="3"/>
    </row>
    <row r="60" spans="1:36" s="1" customFormat="1" ht="25.5" thickBot="1" x14ac:dyDescent="0.3">
      <c r="A60" s="157" t="s">
        <v>56</v>
      </c>
      <c r="B60" s="60"/>
      <c r="C60" s="60"/>
      <c r="D60" s="57" t="s">
        <v>24</v>
      </c>
      <c r="E60" s="82">
        <f>E51*$E$56</f>
        <v>0</v>
      </c>
      <c r="F60" s="83">
        <f t="shared" ref="F60:O60" si="82">F51*$E$56</f>
        <v>0</v>
      </c>
      <c r="G60" s="84">
        <f t="shared" si="82"/>
        <v>2.52</v>
      </c>
      <c r="H60" s="84">
        <f t="shared" si="82"/>
        <v>3.4650000000000003</v>
      </c>
      <c r="I60" s="84">
        <f t="shared" si="82"/>
        <v>4.41</v>
      </c>
      <c r="J60" s="84">
        <f t="shared" si="82"/>
        <v>5.3550000000000004</v>
      </c>
      <c r="K60" s="84">
        <f t="shared" si="82"/>
        <v>6.3</v>
      </c>
      <c r="L60" s="84">
        <f t="shared" si="82"/>
        <v>7.2450000000000001</v>
      </c>
      <c r="M60" s="84">
        <f t="shared" si="82"/>
        <v>8.19</v>
      </c>
      <c r="N60" s="84">
        <f t="shared" si="82"/>
        <v>9.1349999999999998</v>
      </c>
      <c r="O60" s="85">
        <f t="shared" si="82"/>
        <v>10.08</v>
      </c>
      <c r="P60" s="84">
        <f t="shared" ref="P60:AA60" si="83">P51*$E$56</f>
        <v>11.025</v>
      </c>
      <c r="Q60" s="85">
        <f t="shared" si="83"/>
        <v>11.969999999999999</v>
      </c>
      <c r="R60" s="84">
        <f t="shared" si="83"/>
        <v>12.914999999999999</v>
      </c>
      <c r="S60" s="85">
        <f t="shared" si="83"/>
        <v>13.860000000000001</v>
      </c>
      <c r="T60" s="84">
        <f t="shared" si="83"/>
        <v>14.804999999999998</v>
      </c>
      <c r="U60" s="85">
        <f t="shared" si="83"/>
        <v>15.75</v>
      </c>
      <c r="V60" s="84">
        <f t="shared" si="83"/>
        <v>16.695</v>
      </c>
      <c r="W60" s="85">
        <f t="shared" si="83"/>
        <v>17.64</v>
      </c>
      <c r="X60" s="84">
        <f t="shared" si="83"/>
        <v>18.584999999999997</v>
      </c>
      <c r="Y60" s="85">
        <f t="shared" si="83"/>
        <v>19.529999999999998</v>
      </c>
      <c r="Z60" s="84">
        <f t="shared" si="83"/>
        <v>20.474999999999998</v>
      </c>
      <c r="AA60" s="85">
        <f t="shared" si="83"/>
        <v>21.42</v>
      </c>
      <c r="AB60" s="84">
        <f t="shared" ref="AB60:AI60" si="84">AB51*$E$56</f>
        <v>22.364999999999998</v>
      </c>
      <c r="AC60" s="85">
        <f t="shared" si="84"/>
        <v>23.31</v>
      </c>
      <c r="AD60" s="84">
        <f t="shared" si="84"/>
        <v>24.255000000000003</v>
      </c>
      <c r="AE60" s="85">
        <f t="shared" si="84"/>
        <v>25.2</v>
      </c>
      <c r="AF60" s="84">
        <f t="shared" si="84"/>
        <v>26.144999999999996</v>
      </c>
      <c r="AG60" s="85">
        <f t="shared" si="84"/>
        <v>27.09</v>
      </c>
      <c r="AH60" s="84">
        <f t="shared" si="84"/>
        <v>28.035</v>
      </c>
      <c r="AI60" s="85">
        <f t="shared" si="84"/>
        <v>28.98</v>
      </c>
      <c r="AJ60" s="84"/>
    </row>
    <row r="61" spans="1:36" s="1" customFormat="1" ht="23.25" customHeight="1" x14ac:dyDescent="0.2">
      <c r="A61" s="107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108"/>
      <c r="P61" s="32"/>
      <c r="Q61" s="108"/>
      <c r="R61" s="32"/>
      <c r="S61" s="108"/>
      <c r="T61" s="32"/>
      <c r="U61" s="108"/>
      <c r="V61" s="32"/>
      <c r="W61" s="108"/>
      <c r="X61" s="32"/>
      <c r="Y61" s="108"/>
      <c r="Z61" s="32"/>
      <c r="AA61" s="108"/>
      <c r="AB61" s="32"/>
      <c r="AC61" s="108"/>
      <c r="AD61" s="32"/>
      <c r="AE61" s="108"/>
      <c r="AF61" s="32"/>
      <c r="AG61" s="108"/>
      <c r="AH61" s="32"/>
      <c r="AI61" s="108"/>
      <c r="AJ61" s="32"/>
    </row>
    <row r="62" spans="1:36" s="1" customFormat="1" ht="23.25" customHeight="1" x14ac:dyDescent="0.25">
      <c r="A62" s="87" t="s">
        <v>45</v>
      </c>
      <c r="B62" s="109"/>
      <c r="C62" s="109"/>
      <c r="D62" s="70"/>
      <c r="E62" s="70"/>
      <c r="F62" s="110"/>
      <c r="G62" s="111"/>
      <c r="H62" s="110"/>
      <c r="I62" s="110"/>
      <c r="J62" s="110"/>
      <c r="K62" s="110"/>
      <c r="L62" s="110"/>
      <c r="M62" s="110"/>
      <c r="N62" s="110"/>
      <c r="O62" s="112"/>
      <c r="P62" s="110"/>
      <c r="Q62" s="112"/>
      <c r="R62" s="110"/>
      <c r="S62" s="112"/>
      <c r="T62" s="110"/>
      <c r="U62" s="112"/>
      <c r="V62" s="110"/>
      <c r="W62" s="112"/>
      <c r="X62" s="110"/>
      <c r="Y62" s="112"/>
      <c r="Z62" s="110"/>
      <c r="AA62" s="112"/>
      <c r="AB62" s="110"/>
      <c r="AC62" s="112"/>
      <c r="AD62" s="110"/>
      <c r="AE62" s="112"/>
      <c r="AF62" s="110"/>
      <c r="AG62" s="112"/>
      <c r="AH62" s="110"/>
      <c r="AI62" s="112"/>
      <c r="AJ62" s="110"/>
    </row>
    <row r="63" spans="1:36" s="1" customFormat="1" ht="23.25" customHeight="1" x14ac:dyDescent="0.2">
      <c r="A63" s="23" t="s">
        <v>34</v>
      </c>
      <c r="E63" s="8">
        <v>75</v>
      </c>
      <c r="F63" s="66"/>
      <c r="G63" s="66"/>
      <c r="H63" s="66"/>
      <c r="I63" s="66"/>
      <c r="J63" s="66"/>
      <c r="K63" s="66"/>
      <c r="L63" s="66"/>
      <c r="M63" s="66"/>
      <c r="N63" s="66"/>
      <c r="O63" s="24"/>
      <c r="P63" s="66"/>
      <c r="Q63" s="24"/>
      <c r="R63" s="66"/>
      <c r="S63" s="24"/>
      <c r="T63" s="66"/>
      <c r="U63" s="24"/>
      <c r="V63" s="66"/>
      <c r="W63" s="24"/>
      <c r="X63" s="66"/>
      <c r="Y63" s="24"/>
      <c r="Z63" s="66"/>
      <c r="AA63" s="24"/>
      <c r="AB63" s="66"/>
      <c r="AC63" s="24"/>
      <c r="AD63" s="66"/>
      <c r="AE63" s="24"/>
      <c r="AF63" s="66"/>
      <c r="AG63" s="24"/>
      <c r="AH63" s="66"/>
      <c r="AI63" s="24"/>
      <c r="AJ63" s="66"/>
    </row>
    <row r="64" spans="1:36" s="1" customFormat="1" ht="29.25" customHeight="1" x14ac:dyDescent="0.2">
      <c r="A64" s="35"/>
      <c r="E64" s="66"/>
      <c r="F64" s="4">
        <v>2023</v>
      </c>
      <c r="G64" s="4">
        <f>F64+1</f>
        <v>2024</v>
      </c>
      <c r="H64" s="4">
        <f t="shared" ref="H64" si="85">G64+1</f>
        <v>2025</v>
      </c>
      <c r="I64" s="4">
        <f t="shared" ref="I64" si="86">H64+1</f>
        <v>2026</v>
      </c>
      <c r="J64" s="4">
        <f t="shared" ref="J64" si="87">I64+1</f>
        <v>2027</v>
      </c>
      <c r="K64" s="4">
        <f t="shared" ref="K64" si="88">J64+1</f>
        <v>2028</v>
      </c>
      <c r="L64" s="4">
        <f t="shared" ref="L64" si="89">K64+1</f>
        <v>2029</v>
      </c>
      <c r="M64" s="4">
        <f t="shared" ref="M64" si="90">L64+1</f>
        <v>2030</v>
      </c>
      <c r="N64" s="4">
        <f t="shared" ref="N64" si="91">M64+1</f>
        <v>2031</v>
      </c>
      <c r="O64" s="36">
        <f t="shared" ref="O64" si="92">N64+1</f>
        <v>2032</v>
      </c>
      <c r="P64" s="4">
        <f t="shared" ref="P64" si="93">O64+1</f>
        <v>2033</v>
      </c>
      <c r="Q64" s="36">
        <f t="shared" ref="Q64" si="94">P64+1</f>
        <v>2034</v>
      </c>
      <c r="R64" s="4">
        <f t="shared" ref="R64" si="95">Q64+1</f>
        <v>2035</v>
      </c>
      <c r="S64" s="36">
        <f t="shared" ref="S64" si="96">R64+1</f>
        <v>2036</v>
      </c>
      <c r="T64" s="4">
        <f t="shared" ref="T64" si="97">S64+1</f>
        <v>2037</v>
      </c>
      <c r="U64" s="36">
        <f t="shared" ref="U64" si="98">T64+1</f>
        <v>2038</v>
      </c>
      <c r="V64" s="4">
        <f t="shared" ref="V64" si="99">U64+1</f>
        <v>2039</v>
      </c>
      <c r="W64" s="36">
        <f t="shared" ref="W64" si="100">V64+1</f>
        <v>2040</v>
      </c>
      <c r="X64" s="4">
        <f t="shared" ref="X64" si="101">W64+1</f>
        <v>2041</v>
      </c>
      <c r="Y64" s="36">
        <f t="shared" ref="Y64" si="102">X64+1</f>
        <v>2042</v>
      </c>
      <c r="Z64" s="4">
        <f t="shared" ref="Z64" si="103">Y64+1</f>
        <v>2043</v>
      </c>
      <c r="AA64" s="36">
        <f t="shared" ref="AA64" si="104">Z64+1</f>
        <v>2044</v>
      </c>
      <c r="AB64" s="4">
        <f t="shared" ref="AB64" si="105">AA64+1</f>
        <v>2045</v>
      </c>
      <c r="AC64" s="36">
        <f t="shared" ref="AC64" si="106">AB64+1</f>
        <v>2046</v>
      </c>
      <c r="AD64" s="4">
        <f t="shared" ref="AD64" si="107">AC64+1</f>
        <v>2047</v>
      </c>
      <c r="AE64" s="36">
        <f t="shared" ref="AE64" si="108">AD64+1</f>
        <v>2048</v>
      </c>
      <c r="AF64" s="4">
        <f t="shared" ref="AF64" si="109">AE64+1</f>
        <v>2049</v>
      </c>
      <c r="AG64" s="36">
        <f t="shared" ref="AG64" si="110">AF64+1</f>
        <v>2050</v>
      </c>
      <c r="AH64" s="4">
        <f t="shared" ref="AH64" si="111">AG64+1</f>
        <v>2051</v>
      </c>
      <c r="AI64" s="36">
        <f t="shared" ref="AI64" si="112">AH64+1</f>
        <v>2052</v>
      </c>
      <c r="AJ64" s="4"/>
    </row>
    <row r="65" spans="1:36" s="5" customFormat="1" ht="17.25" customHeight="1" thickBot="1" x14ac:dyDescent="0.25">
      <c r="A65" s="23" t="s">
        <v>19</v>
      </c>
      <c r="B65" s="1"/>
      <c r="C65" s="1"/>
      <c r="D65" s="1"/>
      <c r="E65" s="66"/>
      <c r="F65" s="66">
        <v>0.05</v>
      </c>
      <c r="G65" s="66">
        <v>0.08</v>
      </c>
      <c r="H65" s="66">
        <v>0.11</v>
      </c>
      <c r="I65" s="66">
        <v>0.14000000000000001</v>
      </c>
      <c r="J65" s="66">
        <v>0.17</v>
      </c>
      <c r="K65" s="66">
        <v>0.2</v>
      </c>
      <c r="L65" s="66">
        <v>0.23</v>
      </c>
      <c r="M65" s="66">
        <v>0.26</v>
      </c>
      <c r="N65" s="66">
        <v>0.28999999999999998</v>
      </c>
      <c r="O65" s="24">
        <v>0.32</v>
      </c>
      <c r="P65" s="66">
        <v>0.35</v>
      </c>
      <c r="Q65" s="24">
        <v>0.38</v>
      </c>
      <c r="R65" s="66">
        <v>0.41</v>
      </c>
      <c r="S65" s="24">
        <v>0.44</v>
      </c>
      <c r="T65" s="66">
        <v>0.47</v>
      </c>
      <c r="U65" s="24">
        <v>0.5</v>
      </c>
      <c r="V65" s="66">
        <v>0.53</v>
      </c>
      <c r="W65" s="24">
        <v>0.56000000000000005</v>
      </c>
      <c r="X65" s="66">
        <v>0.59</v>
      </c>
      <c r="Y65" s="24">
        <v>0.62</v>
      </c>
      <c r="Z65" s="66">
        <v>0.65</v>
      </c>
      <c r="AA65" s="24">
        <v>0.68</v>
      </c>
      <c r="AB65" s="66">
        <v>0.71</v>
      </c>
      <c r="AC65" s="24">
        <v>0.74</v>
      </c>
      <c r="AD65" s="66">
        <v>0.77</v>
      </c>
      <c r="AE65" s="24">
        <v>0.8</v>
      </c>
      <c r="AF65" s="66">
        <v>0.83</v>
      </c>
      <c r="AG65" s="24">
        <v>0.86</v>
      </c>
      <c r="AH65" s="66">
        <v>0.89</v>
      </c>
      <c r="AI65" s="24">
        <v>0.92</v>
      </c>
      <c r="AJ65" s="66"/>
    </row>
    <row r="66" spans="1:36" s="1" customFormat="1" ht="23.25" customHeight="1" x14ac:dyDescent="0.2">
      <c r="A66" s="35"/>
      <c r="E66" s="262" t="s">
        <v>28</v>
      </c>
      <c r="O66" s="49"/>
      <c r="Q66" s="49"/>
      <c r="S66" s="49"/>
      <c r="U66" s="49"/>
      <c r="W66" s="49"/>
      <c r="Y66" s="49"/>
      <c r="AA66" s="49"/>
      <c r="AC66" s="49"/>
      <c r="AE66" s="49"/>
      <c r="AG66" s="49"/>
      <c r="AI66" s="49"/>
    </row>
    <row r="67" spans="1:36" s="1" customFormat="1" ht="23.25" customHeight="1" thickBot="1" x14ac:dyDescent="0.25">
      <c r="A67" s="23"/>
      <c r="B67" s="5"/>
      <c r="C67" s="5"/>
      <c r="D67" s="5"/>
      <c r="E67" s="263"/>
      <c r="F67" s="5"/>
      <c r="G67" s="5"/>
      <c r="H67" s="5"/>
      <c r="I67" s="5"/>
      <c r="J67" s="5"/>
      <c r="K67" s="5"/>
      <c r="L67" s="5"/>
      <c r="M67" s="5"/>
      <c r="N67" s="5"/>
      <c r="O67" s="38"/>
      <c r="P67" s="5"/>
      <c r="Q67" s="38"/>
      <c r="R67" s="5"/>
      <c r="S67" s="38"/>
      <c r="T67" s="5"/>
      <c r="U67" s="38"/>
      <c r="V67" s="5"/>
      <c r="W67" s="38"/>
      <c r="X67" s="5"/>
      <c r="Y67" s="38"/>
      <c r="Z67" s="5"/>
      <c r="AA67" s="38"/>
      <c r="AB67" s="5"/>
      <c r="AC67" s="38"/>
      <c r="AD67" s="5"/>
      <c r="AE67" s="38"/>
      <c r="AF67" s="5"/>
      <c r="AG67" s="38"/>
      <c r="AH67" s="5"/>
      <c r="AI67" s="38"/>
      <c r="AJ67" s="5"/>
    </row>
    <row r="68" spans="1:36" s="1" customFormat="1" ht="23.25" customHeight="1" thickBot="1" x14ac:dyDescent="0.3">
      <c r="A68" s="56" t="s">
        <v>61</v>
      </c>
      <c r="B68" s="61"/>
      <c r="C68" s="61"/>
      <c r="D68" s="57"/>
      <c r="E68" s="149">
        <f>SUM(E69:E71)</f>
        <v>12.5</v>
      </c>
      <c r="F68" s="100">
        <f>MIN(SUM(F69:F71),($E$68*$E$63*$E$29))</f>
        <v>0</v>
      </c>
      <c r="G68" s="100">
        <f t="shared" ref="G68:O68" si="113">MIN(SUM(G69:G71),($E$68*$E$63*$E$29))</f>
        <v>122.85</v>
      </c>
      <c r="H68" s="100">
        <f t="shared" si="113"/>
        <v>168.91874999999999</v>
      </c>
      <c r="I68" s="100">
        <f t="shared" si="113"/>
        <v>214.98750000000001</v>
      </c>
      <c r="J68" s="100">
        <f t="shared" si="113"/>
        <v>261.05625000000003</v>
      </c>
      <c r="K68" s="100">
        <f t="shared" si="113"/>
        <v>307.125</v>
      </c>
      <c r="L68" s="100">
        <f t="shared" si="113"/>
        <v>353.19375000000002</v>
      </c>
      <c r="M68" s="100">
        <f t="shared" si="113"/>
        <v>399.26249999999999</v>
      </c>
      <c r="N68" s="100">
        <f t="shared" si="113"/>
        <v>445.33125000000001</v>
      </c>
      <c r="O68" s="100">
        <f t="shared" si="113"/>
        <v>491.4</v>
      </c>
      <c r="P68" s="100">
        <f t="shared" ref="P68:AA68" si="114">MIN(SUM(P69:P71),($E$68*$E$63*$E$29))</f>
        <v>537.46875</v>
      </c>
      <c r="Q68" s="100">
        <f t="shared" si="114"/>
        <v>583.53749999999991</v>
      </c>
      <c r="R68" s="100">
        <f t="shared" si="114"/>
        <v>629.60624999999993</v>
      </c>
      <c r="S68" s="100">
        <f t="shared" si="114"/>
        <v>675.67499999999995</v>
      </c>
      <c r="T68" s="100">
        <f t="shared" si="114"/>
        <v>721.74374999999986</v>
      </c>
      <c r="U68" s="100">
        <f t="shared" si="114"/>
        <v>767.8125</v>
      </c>
      <c r="V68" s="100">
        <f t="shared" si="114"/>
        <v>813.88125000000002</v>
      </c>
      <c r="W68" s="100">
        <f t="shared" si="114"/>
        <v>859.95</v>
      </c>
      <c r="X68" s="100">
        <f t="shared" si="114"/>
        <v>906.01874999999995</v>
      </c>
      <c r="Y68" s="100">
        <f t="shared" si="114"/>
        <v>952.08749999999986</v>
      </c>
      <c r="Z68" s="100">
        <f t="shared" si="114"/>
        <v>998.15624999999977</v>
      </c>
      <c r="AA68" s="100">
        <f t="shared" si="114"/>
        <v>1044.2250000000001</v>
      </c>
      <c r="AB68" s="100">
        <f t="shared" ref="AB68:AI68" si="115">MIN(SUM(AB69:AB71),($E$68*$E$63*$E$29))</f>
        <v>1090.2937499999998</v>
      </c>
      <c r="AC68" s="100">
        <f t="shared" si="115"/>
        <v>1136.3625</v>
      </c>
      <c r="AD68" s="100">
        <f t="shared" si="115"/>
        <v>1182.4312500000001</v>
      </c>
      <c r="AE68" s="100">
        <f t="shared" si="115"/>
        <v>1228.5</v>
      </c>
      <c r="AF68" s="100">
        <f t="shared" si="115"/>
        <v>1274.5687499999999</v>
      </c>
      <c r="AG68" s="100">
        <f t="shared" si="115"/>
        <v>1320.6375</v>
      </c>
      <c r="AH68" s="100">
        <f t="shared" si="115"/>
        <v>1366.70625</v>
      </c>
      <c r="AI68" s="100">
        <f t="shared" si="115"/>
        <v>1412.7750000000001</v>
      </c>
      <c r="AJ68" s="100"/>
    </row>
    <row r="69" spans="1:36" s="1" customFormat="1" ht="23.25" customHeight="1" x14ac:dyDescent="0.25">
      <c r="A69" s="56" t="s">
        <v>58</v>
      </c>
      <c r="B69" s="61"/>
      <c r="C69" s="61"/>
      <c r="D69" s="63" t="s">
        <v>26</v>
      </c>
      <c r="E69" s="150">
        <v>6</v>
      </c>
      <c r="F69" s="13">
        <f t="shared" ref="F69:O69" si="116">($E$63*$E$69*F58)*$E$19</f>
        <v>0</v>
      </c>
      <c r="G69" s="13">
        <f t="shared" si="116"/>
        <v>0</v>
      </c>
      <c r="H69" s="13">
        <f t="shared" si="116"/>
        <v>0</v>
      </c>
      <c r="I69" s="13">
        <f t="shared" si="116"/>
        <v>0</v>
      </c>
      <c r="J69" s="13">
        <f t="shared" si="116"/>
        <v>0</v>
      </c>
      <c r="K69" s="13">
        <f t="shared" si="116"/>
        <v>0</v>
      </c>
      <c r="L69" s="13">
        <f t="shared" si="116"/>
        <v>0</v>
      </c>
      <c r="M69" s="13">
        <f t="shared" si="116"/>
        <v>0</v>
      </c>
      <c r="N69" s="13">
        <f t="shared" si="116"/>
        <v>0</v>
      </c>
      <c r="O69" s="13">
        <f t="shared" si="116"/>
        <v>0</v>
      </c>
      <c r="P69" s="13">
        <f t="shared" ref="P69:AA69" si="117">($E$63*$E$69*P58)*$E$19</f>
        <v>0</v>
      </c>
      <c r="Q69" s="13">
        <f t="shared" si="117"/>
        <v>0</v>
      </c>
      <c r="R69" s="13">
        <f t="shared" si="117"/>
        <v>0</v>
      </c>
      <c r="S69" s="13">
        <f t="shared" si="117"/>
        <v>0</v>
      </c>
      <c r="T69" s="13">
        <f t="shared" si="117"/>
        <v>0</v>
      </c>
      <c r="U69" s="13">
        <f t="shared" si="117"/>
        <v>0</v>
      </c>
      <c r="V69" s="13">
        <f t="shared" si="117"/>
        <v>0</v>
      </c>
      <c r="W69" s="13">
        <f t="shared" si="117"/>
        <v>0</v>
      </c>
      <c r="X69" s="13">
        <f t="shared" si="117"/>
        <v>0</v>
      </c>
      <c r="Y69" s="13">
        <f t="shared" si="117"/>
        <v>0</v>
      </c>
      <c r="Z69" s="13">
        <f t="shared" si="117"/>
        <v>0</v>
      </c>
      <c r="AA69" s="13">
        <f t="shared" si="117"/>
        <v>0</v>
      </c>
      <c r="AB69" s="13">
        <f t="shared" ref="AB69:AI69" si="118">($E$63*$E$69*AB58)*$E$19</f>
        <v>0</v>
      </c>
      <c r="AC69" s="13">
        <f t="shared" si="118"/>
        <v>0</v>
      </c>
      <c r="AD69" s="13">
        <f t="shared" si="118"/>
        <v>0</v>
      </c>
      <c r="AE69" s="13">
        <f t="shared" si="118"/>
        <v>0</v>
      </c>
      <c r="AF69" s="13">
        <f t="shared" si="118"/>
        <v>0</v>
      </c>
      <c r="AG69" s="13">
        <f t="shared" si="118"/>
        <v>0</v>
      </c>
      <c r="AH69" s="13">
        <f t="shared" si="118"/>
        <v>0</v>
      </c>
      <c r="AI69" s="13">
        <f t="shared" si="118"/>
        <v>0</v>
      </c>
      <c r="AJ69" s="13"/>
    </row>
    <row r="70" spans="1:36" s="1" customFormat="1" ht="23.25" customHeight="1" x14ac:dyDescent="0.25">
      <c r="A70" s="56" t="s">
        <v>59</v>
      </c>
      <c r="B70" s="61"/>
      <c r="C70" s="61"/>
      <c r="D70" s="63" t="s">
        <v>27</v>
      </c>
      <c r="E70" s="150">
        <v>4</v>
      </c>
      <c r="F70" s="13">
        <f t="shared" ref="F70" si="119">($E$63*$E$70*F59)*$E$19</f>
        <v>0</v>
      </c>
      <c r="G70" s="13">
        <f>($E$63*$E$70*G59)*$E$19/10</f>
        <v>75.599999999999994</v>
      </c>
      <c r="H70" s="13">
        <f>($E$63*$E$70*H59)*$E$19/10</f>
        <v>103.95</v>
      </c>
      <c r="I70" s="13">
        <f t="shared" ref="I70:O70" si="120">($E$63*$E$70*I59)*$E$19/10</f>
        <v>132.30000000000001</v>
      </c>
      <c r="J70" s="13">
        <f t="shared" si="120"/>
        <v>160.65000000000003</v>
      </c>
      <c r="K70" s="13">
        <f t="shared" si="120"/>
        <v>189</v>
      </c>
      <c r="L70" s="13">
        <f t="shared" si="120"/>
        <v>217.35</v>
      </c>
      <c r="M70" s="13">
        <f t="shared" si="120"/>
        <v>245.7</v>
      </c>
      <c r="N70" s="13">
        <f t="shared" si="120"/>
        <v>274.05</v>
      </c>
      <c r="O70" s="13">
        <f t="shared" si="120"/>
        <v>302.39999999999998</v>
      </c>
      <c r="P70" s="13">
        <f t="shared" ref="P70:AA70" si="121">($E$63*$E$70*P59)*$E$19/10</f>
        <v>330.75</v>
      </c>
      <c r="Q70" s="13">
        <f t="shared" si="121"/>
        <v>359.09999999999997</v>
      </c>
      <c r="R70" s="13">
        <f t="shared" si="121"/>
        <v>387.44999999999993</v>
      </c>
      <c r="S70" s="13">
        <f t="shared" si="121"/>
        <v>415.8</v>
      </c>
      <c r="T70" s="13">
        <f t="shared" si="121"/>
        <v>444.14999999999992</v>
      </c>
      <c r="U70" s="13">
        <f t="shared" si="121"/>
        <v>472.5</v>
      </c>
      <c r="V70" s="13">
        <f t="shared" si="121"/>
        <v>500.85</v>
      </c>
      <c r="W70" s="13">
        <f t="shared" si="121"/>
        <v>529.20000000000005</v>
      </c>
      <c r="X70" s="13">
        <f t="shared" si="121"/>
        <v>557.54999999999995</v>
      </c>
      <c r="Y70" s="13">
        <f t="shared" si="121"/>
        <v>585.89999999999986</v>
      </c>
      <c r="Z70" s="13">
        <f t="shared" si="121"/>
        <v>614.24999999999989</v>
      </c>
      <c r="AA70" s="13">
        <f t="shared" si="121"/>
        <v>642.60000000000014</v>
      </c>
      <c r="AB70" s="13">
        <f t="shared" ref="AB70:AI70" si="122">($E$63*$E$70*AB59)*$E$19/10</f>
        <v>670.94999999999993</v>
      </c>
      <c r="AC70" s="13">
        <f t="shared" si="122"/>
        <v>699.3</v>
      </c>
      <c r="AD70" s="13">
        <f t="shared" si="122"/>
        <v>727.65000000000009</v>
      </c>
      <c r="AE70" s="13">
        <f t="shared" si="122"/>
        <v>756</v>
      </c>
      <c r="AF70" s="13">
        <f t="shared" si="122"/>
        <v>784.34999999999991</v>
      </c>
      <c r="AG70" s="13">
        <f t="shared" si="122"/>
        <v>812.7</v>
      </c>
      <c r="AH70" s="13">
        <f t="shared" si="122"/>
        <v>841.05</v>
      </c>
      <c r="AI70" s="13">
        <f t="shared" si="122"/>
        <v>869.4</v>
      </c>
      <c r="AJ70" s="13"/>
    </row>
    <row r="71" spans="1:36" s="5" customFormat="1" ht="23.25" customHeight="1" thickBot="1" x14ac:dyDescent="0.3">
      <c r="A71" s="56" t="s">
        <v>60</v>
      </c>
      <c r="B71" s="61"/>
      <c r="C71" s="61"/>
      <c r="D71" s="81" t="s">
        <v>29</v>
      </c>
      <c r="E71" s="150">
        <v>2.5</v>
      </c>
      <c r="F71" s="13">
        <f t="shared" ref="F71" si="123">($E$63*$E$71*F60)*$E$19</f>
        <v>0</v>
      </c>
      <c r="G71" s="13">
        <f>($E$63*$E$71*G60)*$E$19/10</f>
        <v>47.25</v>
      </c>
      <c r="H71" s="13">
        <f>($E$63*$E$71*H60)*$E$19/10</f>
        <v>64.96875</v>
      </c>
      <c r="I71" s="13">
        <f t="shared" ref="I71:O71" si="124">($E$63*$E$71*I60)*$E$19/10</f>
        <v>82.6875</v>
      </c>
      <c r="J71" s="13">
        <f t="shared" si="124"/>
        <v>100.40625000000001</v>
      </c>
      <c r="K71" s="13">
        <f t="shared" si="124"/>
        <v>118.125</v>
      </c>
      <c r="L71" s="13">
        <f t="shared" si="124"/>
        <v>135.84375</v>
      </c>
      <c r="M71" s="13">
        <f t="shared" si="124"/>
        <v>153.5625</v>
      </c>
      <c r="N71" s="13">
        <f t="shared" si="124"/>
        <v>171.28125</v>
      </c>
      <c r="O71" s="13">
        <f t="shared" si="124"/>
        <v>189</v>
      </c>
      <c r="P71" s="13">
        <f t="shared" ref="P71:AA71" si="125">($E$63*$E$71*P60)*$E$19/10</f>
        <v>206.71875</v>
      </c>
      <c r="Q71" s="13">
        <f t="shared" si="125"/>
        <v>224.4375</v>
      </c>
      <c r="R71" s="13">
        <f t="shared" si="125"/>
        <v>242.15625</v>
      </c>
      <c r="S71" s="13">
        <f t="shared" si="125"/>
        <v>259.875</v>
      </c>
      <c r="T71" s="13">
        <f t="shared" si="125"/>
        <v>277.59374999999994</v>
      </c>
      <c r="U71" s="13">
        <f t="shared" si="125"/>
        <v>295.3125</v>
      </c>
      <c r="V71" s="13">
        <f t="shared" si="125"/>
        <v>313.03125</v>
      </c>
      <c r="W71" s="13">
        <f t="shared" si="125"/>
        <v>330.75</v>
      </c>
      <c r="X71" s="13">
        <f t="shared" si="125"/>
        <v>348.46874999999994</v>
      </c>
      <c r="Y71" s="13">
        <f t="shared" si="125"/>
        <v>366.18749999999994</v>
      </c>
      <c r="Z71" s="13">
        <f t="shared" si="125"/>
        <v>383.90624999999994</v>
      </c>
      <c r="AA71" s="13">
        <f t="shared" si="125"/>
        <v>401.62500000000006</v>
      </c>
      <c r="AB71" s="13">
        <f t="shared" ref="AB71:AI71" si="126">($E$63*$E$71*AB60)*$E$19/10</f>
        <v>419.34375</v>
      </c>
      <c r="AC71" s="13">
        <f t="shared" si="126"/>
        <v>437.0625</v>
      </c>
      <c r="AD71" s="13">
        <f t="shared" si="126"/>
        <v>454.78125000000011</v>
      </c>
      <c r="AE71" s="13">
        <f t="shared" si="126"/>
        <v>472.5</v>
      </c>
      <c r="AF71" s="13">
        <f t="shared" si="126"/>
        <v>490.21874999999989</v>
      </c>
      <c r="AG71" s="13">
        <f t="shared" si="126"/>
        <v>507.9375</v>
      </c>
      <c r="AH71" s="13">
        <f t="shared" si="126"/>
        <v>525.65625</v>
      </c>
      <c r="AI71" s="13">
        <f t="shared" si="126"/>
        <v>543.375</v>
      </c>
      <c r="AJ71" s="13"/>
    </row>
    <row r="72" spans="1:36" s="1" customFormat="1" ht="23.25" customHeight="1" x14ac:dyDescent="0.2">
      <c r="A72" s="107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108"/>
      <c r="P72" s="32"/>
      <c r="Q72" s="108"/>
      <c r="R72" s="32"/>
      <c r="S72" s="108"/>
      <c r="T72" s="32"/>
      <c r="U72" s="108"/>
      <c r="V72" s="32"/>
      <c r="W72" s="108"/>
      <c r="X72" s="32"/>
      <c r="Y72" s="108"/>
      <c r="Z72" s="32"/>
      <c r="AA72" s="108"/>
      <c r="AB72" s="32"/>
      <c r="AC72" s="108"/>
      <c r="AD72" s="32"/>
      <c r="AE72" s="108"/>
      <c r="AF72" s="32"/>
      <c r="AG72" s="108"/>
      <c r="AH72" s="32"/>
      <c r="AI72" s="108"/>
      <c r="AJ72" s="32"/>
    </row>
    <row r="73" spans="1:36" s="1" customFormat="1" ht="23.25" customHeight="1" x14ac:dyDescent="0.25">
      <c r="A73" s="87" t="s">
        <v>37</v>
      </c>
      <c r="B73" s="69"/>
      <c r="C73" s="69"/>
      <c r="D73" s="70"/>
      <c r="E73" s="70"/>
      <c r="F73" s="41"/>
      <c r="G73" s="71"/>
      <c r="H73" s="71"/>
      <c r="I73" s="71"/>
      <c r="J73" s="71"/>
      <c r="K73" s="71"/>
      <c r="L73" s="71"/>
      <c r="M73" s="71"/>
      <c r="N73" s="71"/>
      <c r="O73" s="42"/>
      <c r="P73" s="71"/>
      <c r="Q73" s="42"/>
      <c r="R73" s="71"/>
      <c r="S73" s="42"/>
      <c r="T73" s="71"/>
      <c r="U73" s="42"/>
      <c r="V73" s="71"/>
      <c r="W73" s="42"/>
      <c r="X73" s="71"/>
      <c r="Y73" s="42"/>
      <c r="Z73" s="71"/>
      <c r="AA73" s="42"/>
      <c r="AB73" s="71"/>
      <c r="AC73" s="42"/>
      <c r="AD73" s="71"/>
      <c r="AE73" s="42"/>
      <c r="AF73" s="71"/>
      <c r="AG73" s="42"/>
      <c r="AH73" s="71"/>
      <c r="AI73" s="42"/>
      <c r="AJ73" s="71"/>
    </row>
    <row r="74" spans="1:36" s="1" customFormat="1" ht="23.25" customHeight="1" x14ac:dyDescent="0.2">
      <c r="A74" s="35"/>
      <c r="F74" s="4">
        <v>2023</v>
      </c>
      <c r="G74" s="4">
        <f>F74+1</f>
        <v>2024</v>
      </c>
      <c r="H74" s="4">
        <f t="shared" ref="H74" si="127">G74+1</f>
        <v>2025</v>
      </c>
      <c r="I74" s="4">
        <f t="shared" ref="I74" si="128">H74+1</f>
        <v>2026</v>
      </c>
      <c r="J74" s="4">
        <f t="shared" ref="J74" si="129">I74+1</f>
        <v>2027</v>
      </c>
      <c r="K74" s="4">
        <f t="shared" ref="K74" si="130">J74+1</f>
        <v>2028</v>
      </c>
      <c r="L74" s="4">
        <f t="shared" ref="L74" si="131">K74+1</f>
        <v>2029</v>
      </c>
      <c r="M74" s="4">
        <f t="shared" ref="M74" si="132">L74+1</f>
        <v>2030</v>
      </c>
      <c r="N74" s="4">
        <f t="shared" ref="N74" si="133">M74+1</f>
        <v>2031</v>
      </c>
      <c r="O74" s="36">
        <f t="shared" ref="O74" si="134">N74+1</f>
        <v>2032</v>
      </c>
      <c r="P74" s="4">
        <f t="shared" ref="P74" si="135">O74+1</f>
        <v>2033</v>
      </c>
      <c r="Q74" s="36">
        <f t="shared" ref="Q74" si="136">P74+1</f>
        <v>2034</v>
      </c>
      <c r="R74" s="4">
        <f t="shared" ref="R74" si="137">Q74+1</f>
        <v>2035</v>
      </c>
      <c r="S74" s="36">
        <f t="shared" ref="S74" si="138">R74+1</f>
        <v>2036</v>
      </c>
      <c r="T74" s="4">
        <f t="shared" ref="T74" si="139">S74+1</f>
        <v>2037</v>
      </c>
      <c r="U74" s="36">
        <f t="shared" ref="U74" si="140">T74+1</f>
        <v>2038</v>
      </c>
      <c r="V74" s="4">
        <f t="shared" ref="V74" si="141">U74+1</f>
        <v>2039</v>
      </c>
      <c r="W74" s="36">
        <f t="shared" ref="W74" si="142">V74+1</f>
        <v>2040</v>
      </c>
      <c r="X74" s="4">
        <f t="shared" ref="X74" si="143">W74+1</f>
        <v>2041</v>
      </c>
      <c r="Y74" s="36">
        <f t="shared" ref="Y74" si="144">X74+1</f>
        <v>2042</v>
      </c>
      <c r="Z74" s="4">
        <f t="shared" ref="Z74" si="145">Y74+1</f>
        <v>2043</v>
      </c>
      <c r="AA74" s="36">
        <f t="shared" ref="AA74" si="146">Z74+1</f>
        <v>2044</v>
      </c>
      <c r="AB74" s="4">
        <f t="shared" ref="AB74" si="147">AA74+1</f>
        <v>2045</v>
      </c>
      <c r="AC74" s="36">
        <f t="shared" ref="AC74" si="148">AB74+1</f>
        <v>2046</v>
      </c>
      <c r="AD74" s="4">
        <f t="shared" ref="AD74" si="149">AC74+1</f>
        <v>2047</v>
      </c>
      <c r="AE74" s="36">
        <f t="shared" ref="AE74" si="150">AD74+1</f>
        <v>2048</v>
      </c>
      <c r="AF74" s="4">
        <f t="shared" ref="AF74" si="151">AE74+1</f>
        <v>2049</v>
      </c>
      <c r="AG74" s="36">
        <f t="shared" ref="AG74" si="152">AF74+1</f>
        <v>2050</v>
      </c>
      <c r="AH74" s="4">
        <f t="shared" ref="AH74" si="153">AG74+1</f>
        <v>2051</v>
      </c>
      <c r="AI74" s="36">
        <f t="shared" ref="AI74" si="154">AH74+1</f>
        <v>2052</v>
      </c>
      <c r="AJ74" s="4"/>
    </row>
    <row r="75" spans="1:36" s="1" customFormat="1" ht="23.25" customHeight="1" x14ac:dyDescent="0.25">
      <c r="A75" s="56" t="s">
        <v>38</v>
      </c>
      <c r="B75" s="62"/>
      <c r="C75" s="62"/>
      <c r="D75" s="62"/>
      <c r="E75" s="6">
        <v>0</v>
      </c>
      <c r="F75" s="43"/>
      <c r="G75" s="71"/>
      <c r="H75" s="71"/>
      <c r="I75" s="71"/>
      <c r="J75" s="71"/>
      <c r="K75" s="71"/>
      <c r="L75" s="71"/>
      <c r="M75" s="71"/>
      <c r="N75" s="71"/>
      <c r="O75" s="42"/>
      <c r="P75" s="71"/>
      <c r="Q75" s="42"/>
      <c r="R75" s="71"/>
      <c r="S75" s="42"/>
      <c r="T75" s="71"/>
      <c r="U75" s="42"/>
      <c r="V75" s="71"/>
      <c r="W75" s="42"/>
      <c r="X75" s="71"/>
      <c r="Y75" s="42"/>
      <c r="Z75" s="71"/>
      <c r="AA75" s="42"/>
      <c r="AB75" s="71"/>
      <c r="AC75" s="42"/>
      <c r="AD75" s="71"/>
      <c r="AE75" s="42"/>
      <c r="AF75" s="71"/>
      <c r="AG75" s="42"/>
      <c r="AH75" s="71"/>
      <c r="AI75" s="42"/>
      <c r="AJ75" s="71"/>
    </row>
    <row r="76" spans="1:36" s="1" customFormat="1" ht="23.25" customHeight="1" x14ac:dyDescent="0.2">
      <c r="A76" s="44" t="s">
        <v>10</v>
      </c>
      <c r="B76" s="69"/>
      <c r="C76" s="69"/>
      <c r="D76" s="72"/>
      <c r="E76" s="70"/>
      <c r="F76" s="7">
        <f t="shared" ref="F76:O76" si="155">($E$75*F68)</f>
        <v>0</v>
      </c>
      <c r="G76" s="7">
        <f>($E$75*G68)</f>
        <v>0</v>
      </c>
      <c r="H76" s="7">
        <f t="shared" si="155"/>
        <v>0</v>
      </c>
      <c r="I76" s="7">
        <f t="shared" si="155"/>
        <v>0</v>
      </c>
      <c r="J76" s="7">
        <f t="shared" si="155"/>
        <v>0</v>
      </c>
      <c r="K76" s="7">
        <f t="shared" si="155"/>
        <v>0</v>
      </c>
      <c r="L76" s="7">
        <f t="shared" si="155"/>
        <v>0</v>
      </c>
      <c r="M76" s="7">
        <f t="shared" si="155"/>
        <v>0</v>
      </c>
      <c r="N76" s="7">
        <f t="shared" si="155"/>
        <v>0</v>
      </c>
      <c r="O76" s="45">
        <f t="shared" si="155"/>
        <v>0</v>
      </c>
      <c r="P76" s="7">
        <f t="shared" ref="P76:AA76" si="156">($E$75*P68)</f>
        <v>0</v>
      </c>
      <c r="Q76" s="45">
        <f t="shared" si="156"/>
        <v>0</v>
      </c>
      <c r="R76" s="7">
        <f t="shared" si="156"/>
        <v>0</v>
      </c>
      <c r="S76" s="45">
        <f t="shared" si="156"/>
        <v>0</v>
      </c>
      <c r="T76" s="7">
        <f t="shared" si="156"/>
        <v>0</v>
      </c>
      <c r="U76" s="45">
        <f t="shared" si="156"/>
        <v>0</v>
      </c>
      <c r="V76" s="7">
        <f t="shared" si="156"/>
        <v>0</v>
      </c>
      <c r="W76" s="45">
        <f t="shared" si="156"/>
        <v>0</v>
      </c>
      <c r="X76" s="7">
        <f t="shared" si="156"/>
        <v>0</v>
      </c>
      <c r="Y76" s="45">
        <f t="shared" si="156"/>
        <v>0</v>
      </c>
      <c r="Z76" s="7">
        <f t="shared" si="156"/>
        <v>0</v>
      </c>
      <c r="AA76" s="45">
        <f t="shared" si="156"/>
        <v>0</v>
      </c>
      <c r="AB76" s="7">
        <f t="shared" ref="AB76:AI76" si="157">($E$75*AB68)</f>
        <v>0</v>
      </c>
      <c r="AC76" s="45">
        <f t="shared" si="157"/>
        <v>0</v>
      </c>
      <c r="AD76" s="7">
        <f t="shared" si="157"/>
        <v>0</v>
      </c>
      <c r="AE76" s="45">
        <f t="shared" si="157"/>
        <v>0</v>
      </c>
      <c r="AF76" s="7">
        <f t="shared" si="157"/>
        <v>0</v>
      </c>
      <c r="AG76" s="45">
        <f t="shared" si="157"/>
        <v>0</v>
      </c>
      <c r="AH76" s="7">
        <f t="shared" si="157"/>
        <v>0</v>
      </c>
      <c r="AI76" s="45">
        <f t="shared" si="157"/>
        <v>0</v>
      </c>
      <c r="AJ76" s="7"/>
    </row>
    <row r="77" spans="1:36" s="1" customFormat="1" ht="23.25" customHeight="1" x14ac:dyDescent="0.25">
      <c r="A77" s="56" t="s">
        <v>11</v>
      </c>
      <c r="B77" s="61"/>
      <c r="C77" s="61"/>
      <c r="D77" s="61"/>
      <c r="E77" s="6">
        <v>0</v>
      </c>
      <c r="F77" s="41"/>
      <c r="G77" s="71"/>
      <c r="H77" s="71"/>
      <c r="I77" s="71"/>
      <c r="J77" s="71"/>
      <c r="K77" s="71"/>
      <c r="L77" s="71"/>
      <c r="M77" s="71"/>
      <c r="N77" s="71"/>
      <c r="O77" s="42"/>
      <c r="P77" s="71"/>
      <c r="Q77" s="42"/>
      <c r="R77" s="71"/>
      <c r="S77" s="42"/>
      <c r="T77" s="71"/>
      <c r="U77" s="42"/>
      <c r="V77" s="71"/>
      <c r="W77" s="42"/>
      <c r="X77" s="71"/>
      <c r="Y77" s="42"/>
      <c r="Z77" s="71"/>
      <c r="AA77" s="42"/>
      <c r="AB77" s="71"/>
      <c r="AC77" s="42"/>
      <c r="AD77" s="71"/>
      <c r="AE77" s="42"/>
      <c r="AF77" s="71"/>
      <c r="AG77" s="42"/>
      <c r="AH77" s="71"/>
      <c r="AI77" s="42"/>
      <c r="AJ77" s="71"/>
    </row>
    <row r="78" spans="1:36" s="1" customFormat="1" ht="23.25" customHeight="1" x14ac:dyDescent="0.2">
      <c r="A78" s="44" t="s">
        <v>12</v>
      </c>
      <c r="B78" s="69"/>
      <c r="C78" s="69"/>
      <c r="D78" s="70"/>
      <c r="E78" s="70"/>
      <c r="F78" s="7">
        <f t="shared" ref="F78:O78" si="158">F57*$E$77</f>
        <v>0</v>
      </c>
      <c r="G78" s="7">
        <f t="shared" si="158"/>
        <v>0</v>
      </c>
      <c r="H78" s="7">
        <f t="shared" si="158"/>
        <v>0</v>
      </c>
      <c r="I78" s="7">
        <f t="shared" si="158"/>
        <v>0</v>
      </c>
      <c r="J78" s="7">
        <f t="shared" si="158"/>
        <v>0</v>
      </c>
      <c r="K78" s="7">
        <f t="shared" si="158"/>
        <v>0</v>
      </c>
      <c r="L78" s="7">
        <f t="shared" si="158"/>
        <v>0</v>
      </c>
      <c r="M78" s="7">
        <f t="shared" si="158"/>
        <v>0</v>
      </c>
      <c r="N78" s="7">
        <f t="shared" si="158"/>
        <v>0</v>
      </c>
      <c r="O78" s="45">
        <f t="shared" si="158"/>
        <v>0</v>
      </c>
      <c r="P78" s="7">
        <f t="shared" ref="P78:AA78" si="159">P57*$E$77</f>
        <v>0</v>
      </c>
      <c r="Q78" s="45">
        <f t="shared" si="159"/>
        <v>0</v>
      </c>
      <c r="R78" s="7">
        <f t="shared" si="159"/>
        <v>0</v>
      </c>
      <c r="S78" s="45">
        <f t="shared" si="159"/>
        <v>0</v>
      </c>
      <c r="T78" s="7">
        <f t="shared" si="159"/>
        <v>0</v>
      </c>
      <c r="U78" s="45">
        <f t="shared" si="159"/>
        <v>0</v>
      </c>
      <c r="V78" s="7">
        <f t="shared" si="159"/>
        <v>0</v>
      </c>
      <c r="W78" s="45">
        <f t="shared" si="159"/>
        <v>0</v>
      </c>
      <c r="X78" s="7">
        <f t="shared" si="159"/>
        <v>0</v>
      </c>
      <c r="Y78" s="45">
        <f t="shared" si="159"/>
        <v>0</v>
      </c>
      <c r="Z78" s="7">
        <f t="shared" si="159"/>
        <v>0</v>
      </c>
      <c r="AA78" s="45">
        <f t="shared" si="159"/>
        <v>0</v>
      </c>
      <c r="AB78" s="7">
        <f t="shared" ref="AB78:AI78" si="160">AB57*$E$77</f>
        <v>0</v>
      </c>
      <c r="AC78" s="45">
        <f t="shared" si="160"/>
        <v>0</v>
      </c>
      <c r="AD78" s="7">
        <f t="shared" si="160"/>
        <v>0</v>
      </c>
      <c r="AE78" s="45">
        <f t="shared" si="160"/>
        <v>0</v>
      </c>
      <c r="AF78" s="7">
        <f t="shared" si="160"/>
        <v>0</v>
      </c>
      <c r="AG78" s="45">
        <f t="shared" si="160"/>
        <v>0</v>
      </c>
      <c r="AH78" s="7">
        <f t="shared" si="160"/>
        <v>0</v>
      </c>
      <c r="AI78" s="45">
        <f t="shared" si="160"/>
        <v>0</v>
      </c>
      <c r="AJ78" s="7"/>
    </row>
    <row r="79" spans="1:36" s="1" customFormat="1" ht="23.25" customHeight="1" thickBot="1" x14ac:dyDescent="0.25">
      <c r="A79" s="115" t="s">
        <v>35</v>
      </c>
      <c r="B79" s="113"/>
      <c r="C79" s="113"/>
      <c r="D79" s="113"/>
      <c r="E79" s="113"/>
      <c r="F79" s="114">
        <f t="shared" ref="F79:N79" si="161">F76*0.15</f>
        <v>0</v>
      </c>
      <c r="G79" s="114">
        <f t="shared" si="161"/>
        <v>0</v>
      </c>
      <c r="H79" s="114">
        <f t="shared" si="161"/>
        <v>0</v>
      </c>
      <c r="I79" s="114">
        <f t="shared" si="161"/>
        <v>0</v>
      </c>
      <c r="J79" s="114">
        <f t="shared" si="161"/>
        <v>0</v>
      </c>
      <c r="K79" s="114">
        <f t="shared" si="161"/>
        <v>0</v>
      </c>
      <c r="L79" s="114">
        <f t="shared" si="161"/>
        <v>0</v>
      </c>
      <c r="M79" s="114">
        <f t="shared" si="161"/>
        <v>0</v>
      </c>
      <c r="N79" s="114">
        <f t="shared" si="161"/>
        <v>0</v>
      </c>
      <c r="O79" s="116">
        <f>O76*0.15</f>
        <v>0</v>
      </c>
      <c r="P79" s="114">
        <f t="shared" ref="P79:Z79" si="162">P76*0.15</f>
        <v>0</v>
      </c>
      <c r="Q79" s="116">
        <f t="shared" si="162"/>
        <v>0</v>
      </c>
      <c r="R79" s="114">
        <f t="shared" si="162"/>
        <v>0</v>
      </c>
      <c r="S79" s="116">
        <f t="shared" si="162"/>
        <v>0</v>
      </c>
      <c r="T79" s="114">
        <f t="shared" si="162"/>
        <v>0</v>
      </c>
      <c r="U79" s="116">
        <f t="shared" si="162"/>
        <v>0</v>
      </c>
      <c r="V79" s="114">
        <f t="shared" si="162"/>
        <v>0</v>
      </c>
      <c r="W79" s="116">
        <f t="shared" si="162"/>
        <v>0</v>
      </c>
      <c r="X79" s="114">
        <f t="shared" si="162"/>
        <v>0</v>
      </c>
      <c r="Y79" s="116">
        <f t="shared" si="162"/>
        <v>0</v>
      </c>
      <c r="Z79" s="114">
        <f t="shared" si="162"/>
        <v>0</v>
      </c>
      <c r="AA79" s="116">
        <f>AA76*0.15</f>
        <v>0</v>
      </c>
      <c r="AB79" s="114">
        <f t="shared" ref="AB79:AI79" si="163">AB76*0.15</f>
        <v>0</v>
      </c>
      <c r="AC79" s="116">
        <f t="shared" si="163"/>
        <v>0</v>
      </c>
      <c r="AD79" s="114">
        <f t="shared" si="163"/>
        <v>0</v>
      </c>
      <c r="AE79" s="116">
        <f t="shared" si="163"/>
        <v>0</v>
      </c>
      <c r="AF79" s="114">
        <f t="shared" si="163"/>
        <v>0</v>
      </c>
      <c r="AG79" s="116">
        <f t="shared" si="163"/>
        <v>0</v>
      </c>
      <c r="AH79" s="114">
        <f t="shared" si="163"/>
        <v>0</v>
      </c>
      <c r="AI79" s="116">
        <f t="shared" si="163"/>
        <v>0</v>
      </c>
      <c r="AJ79" s="114"/>
    </row>
    <row r="80" spans="1:36" s="1" customFormat="1" ht="23.25" customHeight="1" thickTop="1" thickBot="1" x14ac:dyDescent="0.25">
      <c r="A80" s="135" t="s">
        <v>52</v>
      </c>
      <c r="B80" s="136"/>
      <c r="C80" s="136"/>
      <c r="D80" s="132"/>
      <c r="E80" s="132"/>
      <c r="F80" s="137">
        <f t="shared" ref="F80:N80" si="164">SUM(F76:F79)</f>
        <v>0</v>
      </c>
      <c r="G80" s="137">
        <f t="shared" si="164"/>
        <v>0</v>
      </c>
      <c r="H80" s="137">
        <f t="shared" si="164"/>
        <v>0</v>
      </c>
      <c r="I80" s="137">
        <f t="shared" si="164"/>
        <v>0</v>
      </c>
      <c r="J80" s="137">
        <f t="shared" si="164"/>
        <v>0</v>
      </c>
      <c r="K80" s="137">
        <f t="shared" si="164"/>
        <v>0</v>
      </c>
      <c r="L80" s="137">
        <f t="shared" si="164"/>
        <v>0</v>
      </c>
      <c r="M80" s="137">
        <f>SUM(M76:M79)</f>
        <v>0</v>
      </c>
      <c r="N80" s="137">
        <f t="shared" si="164"/>
        <v>0</v>
      </c>
      <c r="O80" s="138">
        <f>SUM(O76:O79)</f>
        <v>0</v>
      </c>
      <c r="P80" s="137">
        <f t="shared" ref="P80:Z80" si="165">SUM(P76:P79)</f>
        <v>0</v>
      </c>
      <c r="Q80" s="138">
        <f t="shared" si="165"/>
        <v>0</v>
      </c>
      <c r="R80" s="137">
        <f t="shared" si="165"/>
        <v>0</v>
      </c>
      <c r="S80" s="138">
        <f t="shared" si="165"/>
        <v>0</v>
      </c>
      <c r="T80" s="137">
        <f t="shared" si="165"/>
        <v>0</v>
      </c>
      <c r="U80" s="138">
        <f t="shared" si="165"/>
        <v>0</v>
      </c>
      <c r="V80" s="137">
        <f t="shared" si="165"/>
        <v>0</v>
      </c>
      <c r="W80" s="138">
        <f t="shared" si="165"/>
        <v>0</v>
      </c>
      <c r="X80" s="137">
        <f t="shared" si="165"/>
        <v>0</v>
      </c>
      <c r="Y80" s="138">
        <f t="shared" si="165"/>
        <v>0</v>
      </c>
      <c r="Z80" s="137">
        <f t="shared" si="165"/>
        <v>0</v>
      </c>
      <c r="AA80" s="138">
        <f>SUM(AA76:AA79)</f>
        <v>0</v>
      </c>
      <c r="AB80" s="137">
        <f t="shared" ref="AB80:AI80" si="166">SUM(AB76:AB79)</f>
        <v>0</v>
      </c>
      <c r="AC80" s="138">
        <f t="shared" si="166"/>
        <v>0</v>
      </c>
      <c r="AD80" s="137">
        <f t="shared" si="166"/>
        <v>0</v>
      </c>
      <c r="AE80" s="138">
        <f t="shared" si="166"/>
        <v>0</v>
      </c>
      <c r="AF80" s="137">
        <f t="shared" si="166"/>
        <v>0</v>
      </c>
      <c r="AG80" s="138">
        <f t="shared" si="166"/>
        <v>0</v>
      </c>
      <c r="AH80" s="137">
        <f t="shared" si="166"/>
        <v>0</v>
      </c>
      <c r="AI80" s="138">
        <f t="shared" si="166"/>
        <v>0</v>
      </c>
      <c r="AJ80" s="137"/>
    </row>
    <row r="81" spans="1:36" s="1" customFormat="1" ht="23.25" customHeight="1" x14ac:dyDescent="0.2">
      <c r="A81" s="140"/>
      <c r="B81" s="141"/>
      <c r="C81" s="141"/>
      <c r="D81" s="142"/>
      <c r="E81" s="142"/>
      <c r="F81" s="143"/>
      <c r="G81" s="143"/>
      <c r="H81" s="143"/>
      <c r="I81" s="143"/>
      <c r="J81" s="143"/>
      <c r="K81" s="143"/>
      <c r="L81" s="143"/>
      <c r="M81" s="143"/>
      <c r="N81" s="143"/>
      <c r="O81" s="144"/>
      <c r="P81" s="143"/>
      <c r="Q81" s="144"/>
      <c r="R81" s="143"/>
      <c r="S81" s="144"/>
      <c r="T81" s="143"/>
      <c r="U81" s="144"/>
      <c r="V81" s="143"/>
      <c r="W81" s="144"/>
      <c r="X81" s="143"/>
      <c r="Y81" s="144"/>
      <c r="Z81" s="143"/>
      <c r="AA81" s="144"/>
      <c r="AB81" s="143"/>
      <c r="AC81" s="144"/>
      <c r="AD81" s="143"/>
      <c r="AE81" s="144"/>
      <c r="AF81" s="143"/>
      <c r="AG81" s="144"/>
      <c r="AH81" s="143"/>
      <c r="AI81" s="144"/>
      <c r="AJ81" s="143"/>
    </row>
    <row r="82" spans="1:36" s="1" customFormat="1" ht="23.25" customHeight="1" x14ac:dyDescent="0.25">
      <c r="A82" s="102" t="s">
        <v>49</v>
      </c>
      <c r="O82" s="49"/>
      <c r="Q82" s="49"/>
      <c r="S82" s="49"/>
      <c r="U82" s="49"/>
      <c r="W82" s="49"/>
      <c r="Y82" s="49"/>
      <c r="AA82" s="49"/>
      <c r="AC82" s="49"/>
      <c r="AE82" s="49"/>
      <c r="AG82" s="49"/>
      <c r="AI82" s="49"/>
    </row>
    <row r="83" spans="1:36" s="1" customFormat="1" ht="23.25" customHeight="1" x14ac:dyDescent="0.2">
      <c r="A83" s="47" t="s">
        <v>31</v>
      </c>
      <c r="B83" s="75"/>
      <c r="C83" s="75"/>
      <c r="D83" s="70"/>
      <c r="E83" s="70"/>
      <c r="F83" s="4">
        <v>2023</v>
      </c>
      <c r="G83" s="4">
        <f>F83+1</f>
        <v>2024</v>
      </c>
      <c r="H83" s="4">
        <f t="shared" ref="H83" si="167">G83+1</f>
        <v>2025</v>
      </c>
      <c r="I83" s="4">
        <f t="shared" ref="I83" si="168">H83+1</f>
        <v>2026</v>
      </c>
      <c r="J83" s="4">
        <f t="shared" ref="J83" si="169">I83+1</f>
        <v>2027</v>
      </c>
      <c r="K83" s="4">
        <f t="shared" ref="K83" si="170">J83+1</f>
        <v>2028</v>
      </c>
      <c r="L83" s="4">
        <f t="shared" ref="L83" si="171">K83+1</f>
        <v>2029</v>
      </c>
      <c r="M83" s="4">
        <f t="shared" ref="M83" si="172">L83+1</f>
        <v>2030</v>
      </c>
      <c r="N83" s="4">
        <f t="shared" ref="N83" si="173">M83+1</f>
        <v>2031</v>
      </c>
      <c r="O83" s="36">
        <f t="shared" ref="O83" si="174">N83+1</f>
        <v>2032</v>
      </c>
      <c r="P83" s="4">
        <f t="shared" ref="P83" si="175">O83+1</f>
        <v>2033</v>
      </c>
      <c r="Q83" s="36">
        <f t="shared" ref="Q83" si="176">P83+1</f>
        <v>2034</v>
      </c>
      <c r="R83" s="4">
        <f t="shared" ref="R83" si="177">Q83+1</f>
        <v>2035</v>
      </c>
      <c r="S83" s="36">
        <f t="shared" ref="S83" si="178">R83+1</f>
        <v>2036</v>
      </c>
      <c r="T83" s="4">
        <f t="shared" ref="T83" si="179">S83+1</f>
        <v>2037</v>
      </c>
      <c r="U83" s="36">
        <f t="shared" ref="U83" si="180">T83+1</f>
        <v>2038</v>
      </c>
      <c r="V83" s="4">
        <f t="shared" ref="V83" si="181">U83+1</f>
        <v>2039</v>
      </c>
      <c r="W83" s="36">
        <f t="shared" ref="W83" si="182">V83+1</f>
        <v>2040</v>
      </c>
      <c r="X83" s="4">
        <f t="shared" ref="X83" si="183">W83+1</f>
        <v>2041</v>
      </c>
      <c r="Y83" s="36">
        <f t="shared" ref="Y83" si="184">X83+1</f>
        <v>2042</v>
      </c>
      <c r="Z83" s="4">
        <f t="shared" ref="Z83" si="185">Y83+1</f>
        <v>2043</v>
      </c>
      <c r="AA83" s="36">
        <f t="shared" ref="AA83" si="186">Z83+1</f>
        <v>2044</v>
      </c>
      <c r="AB83" s="4">
        <f t="shared" ref="AB83" si="187">AA83+1</f>
        <v>2045</v>
      </c>
      <c r="AC83" s="36">
        <f t="shared" ref="AC83" si="188">AB83+1</f>
        <v>2046</v>
      </c>
      <c r="AD83" s="4">
        <f t="shared" ref="AD83" si="189">AC83+1</f>
        <v>2047</v>
      </c>
      <c r="AE83" s="36">
        <f t="shared" ref="AE83" si="190">AD83+1</f>
        <v>2048</v>
      </c>
      <c r="AF83" s="4">
        <f t="shared" ref="AF83" si="191">AE83+1</f>
        <v>2049</v>
      </c>
      <c r="AG83" s="36">
        <f t="shared" ref="AG83" si="192">AF83+1</f>
        <v>2050</v>
      </c>
      <c r="AH83" s="4">
        <f t="shared" ref="AH83" si="193">AG83+1</f>
        <v>2051</v>
      </c>
      <c r="AI83" s="36">
        <f t="shared" ref="AI83" si="194">AH83+1</f>
        <v>2052</v>
      </c>
      <c r="AJ83" s="4"/>
    </row>
    <row r="84" spans="1:36" s="1" customFormat="1" ht="23.25" customHeight="1" x14ac:dyDescent="0.2">
      <c r="A84" s="48" t="s">
        <v>13</v>
      </c>
      <c r="B84" s="75"/>
      <c r="C84" s="75"/>
      <c r="D84" s="70"/>
      <c r="E84" s="76">
        <v>0</v>
      </c>
      <c r="F84" s="7"/>
      <c r="G84" s="7"/>
      <c r="H84" s="7"/>
      <c r="I84" s="7"/>
      <c r="J84" s="7"/>
      <c r="K84" s="7"/>
      <c r="L84" s="7"/>
      <c r="M84" s="7"/>
      <c r="N84" s="7"/>
      <c r="O84" s="45"/>
      <c r="P84" s="7"/>
      <c r="Q84" s="45"/>
      <c r="R84" s="7"/>
      <c r="S84" s="45"/>
      <c r="T84" s="7"/>
      <c r="U84" s="45"/>
      <c r="V84" s="7"/>
      <c r="W84" s="45"/>
      <c r="X84" s="7"/>
      <c r="Y84" s="45"/>
      <c r="Z84" s="7"/>
      <c r="AA84" s="45"/>
      <c r="AB84" s="7"/>
      <c r="AC84" s="45"/>
      <c r="AD84" s="7"/>
      <c r="AE84" s="45"/>
      <c r="AF84" s="7"/>
      <c r="AG84" s="45"/>
      <c r="AH84" s="7"/>
      <c r="AI84" s="45"/>
      <c r="AJ84" s="7"/>
    </row>
    <row r="85" spans="1:36" s="1" customFormat="1" ht="23.25" customHeight="1" x14ac:dyDescent="0.25">
      <c r="A85" s="80" t="s">
        <v>14</v>
      </c>
      <c r="B85" s="78"/>
      <c r="C85" s="78"/>
      <c r="D85" s="78"/>
      <c r="E85" s="78"/>
      <c r="F85" s="7">
        <f t="shared" ref="F85:O85" si="195">$E$84*(F80*365)</f>
        <v>0</v>
      </c>
      <c r="G85" s="7">
        <f t="shared" si="195"/>
        <v>0</v>
      </c>
      <c r="H85" s="7">
        <f t="shared" si="195"/>
        <v>0</v>
      </c>
      <c r="I85" s="7">
        <f t="shared" si="195"/>
        <v>0</v>
      </c>
      <c r="J85" s="7">
        <f t="shared" si="195"/>
        <v>0</v>
      </c>
      <c r="K85" s="7">
        <f t="shared" si="195"/>
        <v>0</v>
      </c>
      <c r="L85" s="7">
        <f t="shared" si="195"/>
        <v>0</v>
      </c>
      <c r="M85" s="7">
        <f t="shared" si="195"/>
        <v>0</v>
      </c>
      <c r="N85" s="7">
        <f t="shared" si="195"/>
        <v>0</v>
      </c>
      <c r="O85" s="45">
        <f t="shared" si="195"/>
        <v>0</v>
      </c>
      <c r="P85" s="7">
        <f t="shared" ref="P85:AA85" si="196">$E$84*(P80*365)</f>
        <v>0</v>
      </c>
      <c r="Q85" s="45">
        <f t="shared" si="196"/>
        <v>0</v>
      </c>
      <c r="R85" s="7">
        <f t="shared" si="196"/>
        <v>0</v>
      </c>
      <c r="S85" s="45">
        <f t="shared" si="196"/>
        <v>0</v>
      </c>
      <c r="T85" s="7">
        <f t="shared" si="196"/>
        <v>0</v>
      </c>
      <c r="U85" s="45">
        <f t="shared" si="196"/>
        <v>0</v>
      </c>
      <c r="V85" s="7">
        <f t="shared" si="196"/>
        <v>0</v>
      </c>
      <c r="W85" s="45">
        <f t="shared" si="196"/>
        <v>0</v>
      </c>
      <c r="X85" s="7">
        <f t="shared" si="196"/>
        <v>0</v>
      </c>
      <c r="Y85" s="45">
        <f t="shared" si="196"/>
        <v>0</v>
      </c>
      <c r="Z85" s="7">
        <f t="shared" si="196"/>
        <v>0</v>
      </c>
      <c r="AA85" s="45">
        <f t="shared" si="196"/>
        <v>0</v>
      </c>
      <c r="AB85" s="7">
        <f t="shared" ref="AB85:AI85" si="197">$E$84*(AB80*365)</f>
        <v>0</v>
      </c>
      <c r="AC85" s="45">
        <f t="shared" si="197"/>
        <v>0</v>
      </c>
      <c r="AD85" s="7">
        <f t="shared" si="197"/>
        <v>0</v>
      </c>
      <c r="AE85" s="45">
        <f t="shared" si="197"/>
        <v>0</v>
      </c>
      <c r="AF85" s="7">
        <f t="shared" si="197"/>
        <v>0</v>
      </c>
      <c r="AG85" s="45">
        <f t="shared" si="197"/>
        <v>0</v>
      </c>
      <c r="AH85" s="7">
        <f t="shared" si="197"/>
        <v>0</v>
      </c>
      <c r="AI85" s="45">
        <f t="shared" si="197"/>
        <v>0</v>
      </c>
      <c r="AJ85" s="7"/>
    </row>
    <row r="86" spans="1:36" s="1" customFormat="1" ht="23.25" customHeight="1" x14ac:dyDescent="0.2">
      <c r="A86" s="47" t="s">
        <v>42</v>
      </c>
      <c r="F86" s="7"/>
      <c r="G86" s="7"/>
      <c r="H86" s="7"/>
      <c r="I86" s="7"/>
      <c r="J86" s="7"/>
      <c r="K86" s="7"/>
      <c r="L86" s="7"/>
      <c r="M86" s="7"/>
      <c r="N86" s="7"/>
      <c r="O86" s="45"/>
      <c r="P86" s="7"/>
      <c r="Q86" s="45"/>
      <c r="R86" s="7"/>
      <c r="S86" s="45"/>
      <c r="T86" s="7"/>
      <c r="U86" s="45"/>
      <c r="V86" s="7"/>
      <c r="W86" s="45"/>
      <c r="X86" s="7"/>
      <c r="Y86" s="45"/>
      <c r="Z86" s="7"/>
      <c r="AA86" s="45"/>
      <c r="AB86" s="7"/>
      <c r="AC86" s="45"/>
      <c r="AD86" s="7"/>
      <c r="AE86" s="45"/>
      <c r="AF86" s="7"/>
      <c r="AG86" s="45"/>
      <c r="AH86" s="7"/>
      <c r="AI86" s="45"/>
      <c r="AJ86" s="7"/>
    </row>
    <row r="87" spans="1:36" s="1" customFormat="1" ht="23.25" customHeight="1" x14ac:dyDescent="0.2">
      <c r="A87" s="48" t="s">
        <v>18</v>
      </c>
      <c r="E87" s="79">
        <v>22</v>
      </c>
      <c r="F87" s="7"/>
      <c r="G87" s="7"/>
      <c r="H87" s="7"/>
      <c r="I87" s="7"/>
      <c r="J87" s="7"/>
      <c r="K87" s="7"/>
      <c r="L87" s="7"/>
      <c r="M87" s="7"/>
      <c r="N87" s="7"/>
      <c r="O87" s="45"/>
      <c r="P87" s="7"/>
      <c r="Q87" s="45"/>
      <c r="R87" s="7"/>
      <c r="S87" s="45"/>
      <c r="T87" s="7"/>
      <c r="U87" s="45"/>
      <c r="V87" s="7"/>
      <c r="W87" s="45"/>
      <c r="X87" s="7"/>
      <c r="Y87" s="45"/>
      <c r="Z87" s="7"/>
      <c r="AA87" s="45"/>
      <c r="AB87" s="7"/>
      <c r="AC87" s="45"/>
      <c r="AD87" s="7"/>
      <c r="AE87" s="45"/>
      <c r="AF87" s="7"/>
      <c r="AG87" s="45"/>
      <c r="AH87" s="7"/>
      <c r="AI87" s="45"/>
      <c r="AJ87" s="7"/>
    </row>
    <row r="88" spans="1:36" s="1" customFormat="1" ht="23.25" customHeight="1" x14ac:dyDescent="0.25">
      <c r="A88" s="74" t="s">
        <v>30</v>
      </c>
      <c r="B88" s="77"/>
      <c r="C88" s="77"/>
      <c r="D88" s="78"/>
      <c r="E88" s="78"/>
      <c r="F88" s="7">
        <f>0</f>
        <v>0</v>
      </c>
      <c r="G88" s="7">
        <f t="shared" ref="G88:AI88" si="198">$E$87*$E$29</f>
        <v>88</v>
      </c>
      <c r="H88" s="7">
        <f t="shared" si="198"/>
        <v>88</v>
      </c>
      <c r="I88" s="7">
        <f t="shared" si="198"/>
        <v>88</v>
      </c>
      <c r="J88" s="7">
        <f t="shared" si="198"/>
        <v>88</v>
      </c>
      <c r="K88" s="7">
        <f t="shared" si="198"/>
        <v>88</v>
      </c>
      <c r="L88" s="7">
        <f t="shared" si="198"/>
        <v>88</v>
      </c>
      <c r="M88" s="7">
        <f t="shared" si="198"/>
        <v>88</v>
      </c>
      <c r="N88" s="7">
        <f t="shared" si="198"/>
        <v>88</v>
      </c>
      <c r="O88" s="45">
        <f t="shared" si="198"/>
        <v>88</v>
      </c>
      <c r="P88" s="7">
        <f t="shared" si="198"/>
        <v>88</v>
      </c>
      <c r="Q88" s="45">
        <f t="shared" si="198"/>
        <v>88</v>
      </c>
      <c r="R88" s="7">
        <f t="shared" si="198"/>
        <v>88</v>
      </c>
      <c r="S88" s="45">
        <f t="shared" si="198"/>
        <v>88</v>
      </c>
      <c r="T88" s="7">
        <f t="shared" si="198"/>
        <v>88</v>
      </c>
      <c r="U88" s="45">
        <f t="shared" si="198"/>
        <v>88</v>
      </c>
      <c r="V88" s="7">
        <f t="shared" si="198"/>
        <v>88</v>
      </c>
      <c r="W88" s="45">
        <f t="shared" si="198"/>
        <v>88</v>
      </c>
      <c r="X88" s="7">
        <f t="shared" si="198"/>
        <v>88</v>
      </c>
      <c r="Y88" s="45">
        <f t="shared" si="198"/>
        <v>88</v>
      </c>
      <c r="Z88" s="7">
        <f t="shared" si="198"/>
        <v>88</v>
      </c>
      <c r="AA88" s="45">
        <f t="shared" si="198"/>
        <v>88</v>
      </c>
      <c r="AB88" s="7">
        <f t="shared" si="198"/>
        <v>88</v>
      </c>
      <c r="AC88" s="45">
        <f t="shared" si="198"/>
        <v>88</v>
      </c>
      <c r="AD88" s="7">
        <f t="shared" si="198"/>
        <v>88</v>
      </c>
      <c r="AE88" s="45">
        <f t="shared" si="198"/>
        <v>88</v>
      </c>
      <c r="AF88" s="7">
        <f t="shared" si="198"/>
        <v>88</v>
      </c>
      <c r="AG88" s="45">
        <f t="shared" si="198"/>
        <v>88</v>
      </c>
      <c r="AH88" s="7">
        <f t="shared" si="198"/>
        <v>88</v>
      </c>
      <c r="AI88" s="45">
        <f t="shared" si="198"/>
        <v>88</v>
      </c>
      <c r="AJ88" s="7"/>
    </row>
    <row r="89" spans="1:36" s="1" customFormat="1" ht="23.25" customHeight="1" x14ac:dyDescent="0.2">
      <c r="A89" s="47" t="s">
        <v>50</v>
      </c>
      <c r="F89" s="7"/>
      <c r="G89" s="7"/>
      <c r="H89" s="7"/>
      <c r="I89" s="7"/>
      <c r="J89" s="7"/>
      <c r="K89" s="7"/>
      <c r="L89" s="7"/>
      <c r="M89" s="7"/>
      <c r="N89" s="7"/>
      <c r="O89" s="45"/>
      <c r="P89" s="7"/>
      <c r="Q89" s="45"/>
      <c r="R89" s="7"/>
      <c r="S89" s="45"/>
      <c r="T89" s="7"/>
      <c r="U89" s="45"/>
      <c r="V89" s="7"/>
      <c r="W89" s="45"/>
      <c r="X89" s="7"/>
      <c r="Y89" s="45"/>
      <c r="Z89" s="7"/>
      <c r="AA89" s="45"/>
      <c r="AB89" s="7"/>
      <c r="AC89" s="45"/>
      <c r="AD89" s="7"/>
      <c r="AE89" s="45"/>
      <c r="AF89" s="7"/>
      <c r="AG89" s="45"/>
      <c r="AH89" s="7"/>
      <c r="AI89" s="45"/>
      <c r="AJ89" s="7"/>
    </row>
    <row r="90" spans="1:36" s="1" customFormat="1" ht="23.25" customHeight="1" x14ac:dyDescent="0.2">
      <c r="A90" s="48" t="s">
        <v>76</v>
      </c>
      <c r="E90" s="121">
        <v>0.22</v>
      </c>
      <c r="O90" s="49"/>
      <c r="Q90" s="49"/>
      <c r="S90" s="49"/>
      <c r="U90" s="49"/>
      <c r="W90" s="49"/>
      <c r="Y90" s="49"/>
      <c r="AA90" s="49"/>
      <c r="AC90" s="49"/>
      <c r="AE90" s="49"/>
      <c r="AG90" s="49"/>
      <c r="AI90" s="49"/>
    </row>
    <row r="91" spans="1:36" s="1" customFormat="1" ht="23.25" customHeight="1" x14ac:dyDescent="0.25">
      <c r="A91" s="74" t="s">
        <v>39</v>
      </c>
      <c r="B91" s="77"/>
      <c r="C91" s="77"/>
      <c r="D91" s="78"/>
      <c r="E91" s="78"/>
      <c r="F91" s="7">
        <f t="shared" ref="F91:O91" si="199">($E$90*F68)*365</f>
        <v>0</v>
      </c>
      <c r="G91" s="7">
        <f t="shared" si="199"/>
        <v>9864.8549999999996</v>
      </c>
      <c r="H91" s="7">
        <f t="shared" si="199"/>
        <v>13564.175624999998</v>
      </c>
      <c r="I91" s="7">
        <f t="shared" si="199"/>
        <v>17263.49625</v>
      </c>
      <c r="J91" s="7">
        <f t="shared" si="199"/>
        <v>20962.816875000004</v>
      </c>
      <c r="K91" s="7">
        <f t="shared" si="199"/>
        <v>24662.137499999997</v>
      </c>
      <c r="L91" s="7">
        <f t="shared" si="199"/>
        <v>28361.458125000005</v>
      </c>
      <c r="M91" s="7">
        <f t="shared" si="199"/>
        <v>32060.778750000001</v>
      </c>
      <c r="N91" s="7">
        <f t="shared" si="199"/>
        <v>35760.099374999998</v>
      </c>
      <c r="O91" s="45">
        <f t="shared" si="199"/>
        <v>39459.42</v>
      </c>
      <c r="P91" s="7">
        <f t="shared" ref="P91:AA91" si="200">($E$90*P68)*365</f>
        <v>43158.740625000006</v>
      </c>
      <c r="Q91" s="45">
        <f t="shared" si="200"/>
        <v>46858.061249999992</v>
      </c>
      <c r="R91" s="7">
        <f t="shared" si="200"/>
        <v>50557.381874999999</v>
      </c>
      <c r="S91" s="45">
        <f t="shared" si="200"/>
        <v>54256.702499999992</v>
      </c>
      <c r="T91" s="7">
        <f t="shared" si="200"/>
        <v>57956.023124999992</v>
      </c>
      <c r="U91" s="45">
        <f t="shared" si="200"/>
        <v>61655.343749999993</v>
      </c>
      <c r="V91" s="7">
        <f t="shared" si="200"/>
        <v>65354.664375</v>
      </c>
      <c r="W91" s="45">
        <f t="shared" si="200"/>
        <v>69053.985000000001</v>
      </c>
      <c r="X91" s="7">
        <f t="shared" si="200"/>
        <v>72753.305624999994</v>
      </c>
      <c r="Y91" s="45">
        <f t="shared" si="200"/>
        <v>76452.626249999987</v>
      </c>
      <c r="Z91" s="7">
        <f t="shared" si="200"/>
        <v>80151.94687499998</v>
      </c>
      <c r="AA91" s="45">
        <f t="shared" si="200"/>
        <v>83851.267500000016</v>
      </c>
      <c r="AB91" s="7">
        <f t="shared" ref="AB91:AI91" si="201">($E$90*AB68)*365</f>
        <v>87550.58812499998</v>
      </c>
      <c r="AC91" s="45">
        <f t="shared" si="201"/>
        <v>91249.908749999988</v>
      </c>
      <c r="AD91" s="7">
        <f t="shared" si="201"/>
        <v>94949.22937500001</v>
      </c>
      <c r="AE91" s="45">
        <f t="shared" si="201"/>
        <v>98648.549999999988</v>
      </c>
      <c r="AF91" s="7">
        <f t="shared" si="201"/>
        <v>102347.870625</v>
      </c>
      <c r="AG91" s="45">
        <f t="shared" si="201"/>
        <v>106047.19125</v>
      </c>
      <c r="AH91" s="7">
        <f t="shared" si="201"/>
        <v>109746.511875</v>
      </c>
      <c r="AI91" s="45">
        <f t="shared" si="201"/>
        <v>113445.83250000002</v>
      </c>
      <c r="AJ91" s="7"/>
    </row>
    <row r="92" spans="1:36" s="1" customFormat="1" ht="23.25" customHeight="1" x14ac:dyDescent="0.2">
      <c r="A92" s="47" t="s">
        <v>48</v>
      </c>
      <c r="F92" s="7"/>
      <c r="G92" s="7"/>
      <c r="H92" s="7"/>
      <c r="I92" s="7"/>
      <c r="J92" s="7"/>
      <c r="K92" s="7"/>
      <c r="L92" s="7"/>
      <c r="M92" s="7"/>
      <c r="N92" s="7"/>
      <c r="O92" s="45"/>
      <c r="P92" s="7"/>
      <c r="Q92" s="45"/>
      <c r="R92" s="7"/>
      <c r="S92" s="45"/>
      <c r="T92" s="7"/>
      <c r="U92" s="45"/>
      <c r="V92" s="7"/>
      <c r="W92" s="45"/>
      <c r="X92" s="7"/>
      <c r="Y92" s="45"/>
      <c r="Z92" s="7"/>
      <c r="AA92" s="45"/>
      <c r="AB92" s="7"/>
      <c r="AC92" s="45"/>
      <c r="AD92" s="7"/>
      <c r="AE92" s="45"/>
      <c r="AF92" s="7"/>
      <c r="AG92" s="45"/>
      <c r="AH92" s="7"/>
      <c r="AI92" s="45"/>
      <c r="AJ92" s="7"/>
    </row>
    <row r="93" spans="1:36" s="1" customFormat="1" ht="23.25" customHeight="1" x14ac:dyDescent="0.2">
      <c r="A93" s="48" t="s">
        <v>41</v>
      </c>
      <c r="E93" s="120">
        <v>0</v>
      </c>
      <c r="O93" s="49"/>
      <c r="Q93" s="49"/>
      <c r="S93" s="49"/>
      <c r="U93" s="49"/>
      <c r="W93" s="49"/>
      <c r="Y93" s="49"/>
      <c r="AA93" s="49"/>
      <c r="AC93" s="49"/>
      <c r="AE93" s="49"/>
      <c r="AG93" s="49"/>
      <c r="AI93" s="49"/>
    </row>
    <row r="94" spans="1:36" s="1" customFormat="1" ht="27" customHeight="1" thickBot="1" x14ac:dyDescent="0.3">
      <c r="A94" s="117" t="s">
        <v>39</v>
      </c>
      <c r="B94" s="118"/>
      <c r="C94" s="118"/>
      <c r="D94" s="119"/>
      <c r="E94" s="119"/>
      <c r="F94" s="151">
        <f t="shared" ref="F94:O94" si="202">F80*$E$93 *365</f>
        <v>0</v>
      </c>
      <c r="G94" s="151">
        <f t="shared" si="202"/>
        <v>0</v>
      </c>
      <c r="H94" s="151">
        <f t="shared" si="202"/>
        <v>0</v>
      </c>
      <c r="I94" s="151">
        <f t="shared" si="202"/>
        <v>0</v>
      </c>
      <c r="J94" s="151">
        <f t="shared" si="202"/>
        <v>0</v>
      </c>
      <c r="K94" s="151">
        <f t="shared" si="202"/>
        <v>0</v>
      </c>
      <c r="L94" s="151">
        <f t="shared" si="202"/>
        <v>0</v>
      </c>
      <c r="M94" s="151">
        <f t="shared" si="202"/>
        <v>0</v>
      </c>
      <c r="N94" s="151">
        <f t="shared" si="202"/>
        <v>0</v>
      </c>
      <c r="O94" s="152">
        <f t="shared" si="202"/>
        <v>0</v>
      </c>
      <c r="P94" s="151">
        <f t="shared" ref="P94:AA94" si="203">P80*$E$93 *365</f>
        <v>0</v>
      </c>
      <c r="Q94" s="152">
        <f t="shared" si="203"/>
        <v>0</v>
      </c>
      <c r="R94" s="151">
        <f t="shared" si="203"/>
        <v>0</v>
      </c>
      <c r="S94" s="152">
        <f t="shared" si="203"/>
        <v>0</v>
      </c>
      <c r="T94" s="151">
        <f t="shared" si="203"/>
        <v>0</v>
      </c>
      <c r="U94" s="152">
        <f t="shared" si="203"/>
        <v>0</v>
      </c>
      <c r="V94" s="151">
        <f t="shared" si="203"/>
        <v>0</v>
      </c>
      <c r="W94" s="152">
        <f t="shared" si="203"/>
        <v>0</v>
      </c>
      <c r="X94" s="151">
        <f t="shared" si="203"/>
        <v>0</v>
      </c>
      <c r="Y94" s="152">
        <f t="shared" si="203"/>
        <v>0</v>
      </c>
      <c r="Z94" s="151">
        <f t="shared" si="203"/>
        <v>0</v>
      </c>
      <c r="AA94" s="152">
        <f t="shared" si="203"/>
        <v>0</v>
      </c>
      <c r="AB94" s="151">
        <f t="shared" ref="AB94:AI94" si="204">AB80*$E$93 *365</f>
        <v>0</v>
      </c>
      <c r="AC94" s="152">
        <f t="shared" si="204"/>
        <v>0</v>
      </c>
      <c r="AD94" s="151">
        <f t="shared" si="204"/>
        <v>0</v>
      </c>
      <c r="AE94" s="152">
        <f t="shared" si="204"/>
        <v>0</v>
      </c>
      <c r="AF94" s="151">
        <f t="shared" si="204"/>
        <v>0</v>
      </c>
      <c r="AG94" s="152">
        <f t="shared" si="204"/>
        <v>0</v>
      </c>
      <c r="AH94" s="151">
        <f t="shared" si="204"/>
        <v>0</v>
      </c>
      <c r="AI94" s="152">
        <f t="shared" si="204"/>
        <v>0</v>
      </c>
      <c r="AJ94" s="151"/>
    </row>
    <row r="95" spans="1:36" s="1" customFormat="1" ht="23.25" customHeight="1" thickTop="1" thickBot="1" x14ac:dyDescent="0.25">
      <c r="A95" s="135" t="s">
        <v>40</v>
      </c>
      <c r="B95" s="136"/>
      <c r="C95" s="136"/>
      <c r="D95" s="132"/>
      <c r="E95" s="132"/>
      <c r="F95" s="153">
        <f>SUM(F84:F94)</f>
        <v>0</v>
      </c>
      <c r="G95" s="153">
        <f t="shared" ref="G95:O95" si="205">SUM(G84:G94)</f>
        <v>9952.8549999999996</v>
      </c>
      <c r="H95" s="153">
        <f t="shared" si="205"/>
        <v>13652.175624999998</v>
      </c>
      <c r="I95" s="153">
        <f t="shared" si="205"/>
        <v>17351.49625</v>
      </c>
      <c r="J95" s="153">
        <f t="shared" si="205"/>
        <v>21050.816875000004</v>
      </c>
      <c r="K95" s="153">
        <f t="shared" si="205"/>
        <v>24750.137499999997</v>
      </c>
      <c r="L95" s="153">
        <f t="shared" si="205"/>
        <v>28449.458125000005</v>
      </c>
      <c r="M95" s="153">
        <f t="shared" si="205"/>
        <v>32148.778750000001</v>
      </c>
      <c r="N95" s="153">
        <f t="shared" si="205"/>
        <v>35848.099374999998</v>
      </c>
      <c r="O95" s="154">
        <f t="shared" si="205"/>
        <v>39547.42</v>
      </c>
      <c r="P95" s="153">
        <f t="shared" ref="P95:AA95" si="206">SUM(P84:P94)</f>
        <v>43246.740625000006</v>
      </c>
      <c r="Q95" s="154">
        <f t="shared" si="206"/>
        <v>46946.061249999992</v>
      </c>
      <c r="R95" s="153">
        <f t="shared" si="206"/>
        <v>50645.381874999999</v>
      </c>
      <c r="S95" s="154">
        <f t="shared" si="206"/>
        <v>54344.702499999992</v>
      </c>
      <c r="T95" s="153">
        <f t="shared" si="206"/>
        <v>58044.023124999992</v>
      </c>
      <c r="U95" s="154">
        <f t="shared" si="206"/>
        <v>61743.343749999993</v>
      </c>
      <c r="V95" s="153">
        <f t="shared" si="206"/>
        <v>65442.664375</v>
      </c>
      <c r="W95" s="154">
        <f t="shared" si="206"/>
        <v>69141.985000000001</v>
      </c>
      <c r="X95" s="153">
        <f t="shared" si="206"/>
        <v>72841.305624999994</v>
      </c>
      <c r="Y95" s="154">
        <f t="shared" si="206"/>
        <v>76540.626249999987</v>
      </c>
      <c r="Z95" s="153">
        <f t="shared" si="206"/>
        <v>80239.94687499998</v>
      </c>
      <c r="AA95" s="154">
        <f t="shared" si="206"/>
        <v>83939.267500000016</v>
      </c>
      <c r="AB95" s="153">
        <f t="shared" ref="AB95:AI95" si="207">SUM(AB84:AB94)</f>
        <v>87638.58812499998</v>
      </c>
      <c r="AC95" s="154">
        <f t="shared" si="207"/>
        <v>91337.908749999988</v>
      </c>
      <c r="AD95" s="153">
        <f t="shared" si="207"/>
        <v>95037.22937500001</v>
      </c>
      <c r="AE95" s="154">
        <f t="shared" si="207"/>
        <v>98736.549999999988</v>
      </c>
      <c r="AF95" s="153">
        <f t="shared" si="207"/>
        <v>102435.870625</v>
      </c>
      <c r="AG95" s="154">
        <f t="shared" si="207"/>
        <v>106135.19125</v>
      </c>
      <c r="AH95" s="153">
        <f t="shared" si="207"/>
        <v>109834.511875</v>
      </c>
      <c r="AI95" s="154">
        <f t="shared" si="207"/>
        <v>113533.83250000002</v>
      </c>
      <c r="AJ95" s="153"/>
    </row>
    <row r="96" spans="1:36" s="1" customFormat="1" ht="23.25" customHeight="1" x14ac:dyDescent="0.2">
      <c r="A96" s="127"/>
      <c r="B96" s="128"/>
      <c r="C96" s="128"/>
      <c r="D96" s="33"/>
      <c r="E96" s="33"/>
      <c r="F96" s="129"/>
      <c r="G96" s="129"/>
      <c r="H96" s="129"/>
      <c r="I96" s="129"/>
      <c r="J96" s="129"/>
      <c r="K96" s="129"/>
      <c r="L96" s="129"/>
      <c r="M96" s="129"/>
      <c r="N96" s="129"/>
      <c r="O96" s="130"/>
      <c r="P96" s="129"/>
      <c r="Q96" s="130"/>
      <c r="R96" s="129"/>
      <c r="S96" s="130"/>
      <c r="T96" s="129"/>
      <c r="U96" s="130"/>
      <c r="V96" s="129"/>
      <c r="W96" s="130"/>
      <c r="X96" s="129"/>
      <c r="Y96" s="130"/>
      <c r="Z96" s="129"/>
      <c r="AA96" s="130"/>
      <c r="AB96" s="129"/>
      <c r="AC96" s="130"/>
      <c r="AD96" s="129"/>
      <c r="AE96" s="130"/>
      <c r="AF96" s="129"/>
      <c r="AG96" s="130"/>
      <c r="AH96" s="129"/>
      <c r="AI96" s="130"/>
      <c r="AJ96" s="129"/>
    </row>
    <row r="97" spans="1:36" s="1" customFormat="1" ht="23.25" customHeight="1" x14ac:dyDescent="0.25">
      <c r="A97" s="139" t="s">
        <v>53</v>
      </c>
      <c r="F97" s="73"/>
      <c r="G97" s="73"/>
      <c r="H97" s="73"/>
      <c r="I97" s="73"/>
      <c r="J97" s="73"/>
      <c r="K97" s="73"/>
      <c r="L97" s="73"/>
      <c r="M97" s="73"/>
      <c r="N97" s="73"/>
      <c r="O97" s="37"/>
      <c r="P97" s="73"/>
      <c r="Q97" s="37"/>
      <c r="R97" s="73"/>
      <c r="S97" s="37"/>
      <c r="T97" s="73"/>
      <c r="U97" s="37"/>
      <c r="V97" s="73"/>
      <c r="W97" s="37"/>
      <c r="X97" s="73"/>
      <c r="Y97" s="37"/>
      <c r="Z97" s="73"/>
      <c r="AA97" s="37"/>
      <c r="AB97" s="73"/>
      <c r="AC97" s="37"/>
      <c r="AD97" s="73"/>
      <c r="AE97" s="37"/>
      <c r="AF97" s="73"/>
      <c r="AG97" s="37"/>
      <c r="AH97" s="73"/>
      <c r="AI97" s="37"/>
      <c r="AJ97" s="73"/>
    </row>
    <row r="98" spans="1:36" s="1" customFormat="1" ht="23.25" customHeight="1" x14ac:dyDescent="0.2">
      <c r="A98" s="46"/>
      <c r="F98" s="4">
        <v>2023</v>
      </c>
      <c r="G98" s="4">
        <f>F98+1</f>
        <v>2024</v>
      </c>
      <c r="H98" s="4">
        <f t="shared" ref="H98" si="208">G98+1</f>
        <v>2025</v>
      </c>
      <c r="I98" s="4">
        <f t="shared" ref="I98" si="209">H98+1</f>
        <v>2026</v>
      </c>
      <c r="J98" s="4">
        <f t="shared" ref="J98" si="210">I98+1</f>
        <v>2027</v>
      </c>
      <c r="K98" s="4">
        <f t="shared" ref="K98" si="211">J98+1</f>
        <v>2028</v>
      </c>
      <c r="L98" s="4">
        <f t="shared" ref="L98" si="212">K98+1</f>
        <v>2029</v>
      </c>
      <c r="M98" s="4">
        <f t="shared" ref="M98" si="213">L98+1</f>
        <v>2030</v>
      </c>
      <c r="N98" s="4">
        <f t="shared" ref="N98" si="214">M98+1</f>
        <v>2031</v>
      </c>
      <c r="O98" s="36">
        <f t="shared" ref="O98" si="215">N98+1</f>
        <v>2032</v>
      </c>
      <c r="P98" s="4">
        <f t="shared" ref="P98" si="216">O98+1</f>
        <v>2033</v>
      </c>
      <c r="Q98" s="36">
        <f t="shared" ref="Q98" si="217">P98+1</f>
        <v>2034</v>
      </c>
      <c r="R98" s="4">
        <f t="shared" ref="R98" si="218">Q98+1</f>
        <v>2035</v>
      </c>
      <c r="S98" s="36">
        <f t="shared" ref="S98" si="219">R98+1</f>
        <v>2036</v>
      </c>
      <c r="T98" s="4">
        <f t="shared" ref="T98" si="220">S98+1</f>
        <v>2037</v>
      </c>
      <c r="U98" s="36">
        <f t="shared" ref="U98" si="221">T98+1</f>
        <v>2038</v>
      </c>
      <c r="V98" s="4">
        <f t="shared" ref="V98" si="222">U98+1</f>
        <v>2039</v>
      </c>
      <c r="W98" s="36">
        <f t="shared" ref="W98" si="223">V98+1</f>
        <v>2040</v>
      </c>
      <c r="X98" s="4">
        <f t="shared" ref="X98" si="224">W98+1</f>
        <v>2041</v>
      </c>
      <c r="Y98" s="36">
        <f t="shared" ref="Y98" si="225">X98+1</f>
        <v>2042</v>
      </c>
      <c r="Z98" s="4">
        <f t="shared" ref="Z98" si="226">Y98+1</f>
        <v>2043</v>
      </c>
      <c r="AA98" s="36">
        <f t="shared" ref="AA98" si="227">Z98+1</f>
        <v>2044</v>
      </c>
      <c r="AB98" s="4">
        <f t="shared" ref="AB98" si="228">AA98+1</f>
        <v>2045</v>
      </c>
      <c r="AC98" s="36">
        <f t="shared" ref="AC98" si="229">AB98+1</f>
        <v>2046</v>
      </c>
      <c r="AD98" s="4">
        <f t="shared" ref="AD98" si="230">AC98+1</f>
        <v>2047</v>
      </c>
      <c r="AE98" s="36">
        <f t="shared" ref="AE98" si="231">AD98+1</f>
        <v>2048</v>
      </c>
      <c r="AF98" s="4">
        <f t="shared" ref="AF98" si="232">AE98+1</f>
        <v>2049</v>
      </c>
      <c r="AG98" s="36">
        <f t="shared" ref="AG98" si="233">AF98+1</f>
        <v>2050</v>
      </c>
      <c r="AH98" s="4">
        <f t="shared" ref="AH98" si="234">AG98+1</f>
        <v>2051</v>
      </c>
      <c r="AI98" s="36">
        <f t="shared" ref="AI98" si="235">AH98+1</f>
        <v>2052</v>
      </c>
      <c r="AJ98" s="4"/>
    </row>
    <row r="99" spans="1:36" s="1" customFormat="1" ht="23.25" customHeight="1" x14ac:dyDescent="0.25">
      <c r="A99" s="47" t="s">
        <v>54</v>
      </c>
      <c r="B99" s="69"/>
      <c r="C99" s="69"/>
      <c r="D99" s="70"/>
      <c r="E99" s="70"/>
      <c r="F99" s="145">
        <f t="shared" ref="F99:O99" si="236">F80*365</f>
        <v>0</v>
      </c>
      <c r="G99" s="145">
        <f t="shared" si="236"/>
        <v>0</v>
      </c>
      <c r="H99" s="145">
        <f t="shared" si="236"/>
        <v>0</v>
      </c>
      <c r="I99" s="145">
        <f t="shared" si="236"/>
        <v>0</v>
      </c>
      <c r="J99" s="145">
        <f t="shared" si="236"/>
        <v>0</v>
      </c>
      <c r="K99" s="145">
        <f t="shared" si="236"/>
        <v>0</v>
      </c>
      <c r="L99" s="145">
        <f t="shared" si="236"/>
        <v>0</v>
      </c>
      <c r="M99" s="145">
        <f t="shared" si="236"/>
        <v>0</v>
      </c>
      <c r="N99" s="145">
        <f t="shared" si="236"/>
        <v>0</v>
      </c>
      <c r="O99" s="146">
        <f t="shared" si="236"/>
        <v>0</v>
      </c>
      <c r="P99" s="145">
        <f t="shared" ref="P99:AA99" si="237">P80*365</f>
        <v>0</v>
      </c>
      <c r="Q99" s="146">
        <f t="shared" si="237"/>
        <v>0</v>
      </c>
      <c r="R99" s="145">
        <f t="shared" si="237"/>
        <v>0</v>
      </c>
      <c r="S99" s="146">
        <f t="shared" si="237"/>
        <v>0</v>
      </c>
      <c r="T99" s="145">
        <f t="shared" si="237"/>
        <v>0</v>
      </c>
      <c r="U99" s="146">
        <f t="shared" si="237"/>
        <v>0</v>
      </c>
      <c r="V99" s="145">
        <f t="shared" si="237"/>
        <v>0</v>
      </c>
      <c r="W99" s="146">
        <f t="shared" si="237"/>
        <v>0</v>
      </c>
      <c r="X99" s="145">
        <f t="shared" si="237"/>
        <v>0</v>
      </c>
      <c r="Y99" s="146">
        <f t="shared" si="237"/>
        <v>0</v>
      </c>
      <c r="Z99" s="145">
        <f t="shared" si="237"/>
        <v>0</v>
      </c>
      <c r="AA99" s="146">
        <f t="shared" si="237"/>
        <v>0</v>
      </c>
      <c r="AB99" s="145">
        <f t="shared" ref="AB99:AI99" si="238">AB80*365</f>
        <v>0</v>
      </c>
      <c r="AC99" s="146">
        <f t="shared" si="238"/>
        <v>0</v>
      </c>
      <c r="AD99" s="145">
        <f t="shared" si="238"/>
        <v>0</v>
      </c>
      <c r="AE99" s="146">
        <f t="shared" si="238"/>
        <v>0</v>
      </c>
      <c r="AF99" s="145">
        <f t="shared" si="238"/>
        <v>0</v>
      </c>
      <c r="AG99" s="146">
        <f t="shared" si="238"/>
        <v>0</v>
      </c>
      <c r="AH99" s="145">
        <f t="shared" si="238"/>
        <v>0</v>
      </c>
      <c r="AI99" s="146">
        <f t="shared" si="238"/>
        <v>0</v>
      </c>
      <c r="AJ99" s="145"/>
    </row>
    <row r="100" spans="1:36" s="1" customFormat="1" ht="23.25" customHeight="1" thickBot="1" x14ac:dyDescent="0.3">
      <c r="A100" s="125" t="s">
        <v>43</v>
      </c>
      <c r="B100" s="126"/>
      <c r="C100" s="126"/>
      <c r="D100" s="126"/>
      <c r="E100" s="126"/>
      <c r="F100" s="147">
        <f>F95</f>
        <v>0</v>
      </c>
      <c r="G100" s="147">
        <f t="shared" ref="G100:O100" si="239">G95</f>
        <v>9952.8549999999996</v>
      </c>
      <c r="H100" s="147">
        <f t="shared" si="239"/>
        <v>13652.175624999998</v>
      </c>
      <c r="I100" s="147">
        <f t="shared" si="239"/>
        <v>17351.49625</v>
      </c>
      <c r="J100" s="147">
        <f t="shared" si="239"/>
        <v>21050.816875000004</v>
      </c>
      <c r="K100" s="147">
        <f t="shared" si="239"/>
        <v>24750.137499999997</v>
      </c>
      <c r="L100" s="147">
        <f t="shared" si="239"/>
        <v>28449.458125000005</v>
      </c>
      <c r="M100" s="147">
        <f t="shared" si="239"/>
        <v>32148.778750000001</v>
      </c>
      <c r="N100" s="147">
        <f t="shared" si="239"/>
        <v>35848.099374999998</v>
      </c>
      <c r="O100" s="148">
        <f t="shared" si="239"/>
        <v>39547.42</v>
      </c>
      <c r="P100" s="147">
        <f t="shared" ref="P100:AA100" si="240">P95</f>
        <v>43246.740625000006</v>
      </c>
      <c r="Q100" s="148">
        <f t="shared" si="240"/>
        <v>46946.061249999992</v>
      </c>
      <c r="R100" s="147">
        <f t="shared" si="240"/>
        <v>50645.381874999999</v>
      </c>
      <c r="S100" s="148">
        <f t="shared" si="240"/>
        <v>54344.702499999992</v>
      </c>
      <c r="T100" s="147">
        <f t="shared" si="240"/>
        <v>58044.023124999992</v>
      </c>
      <c r="U100" s="148">
        <f t="shared" si="240"/>
        <v>61743.343749999993</v>
      </c>
      <c r="V100" s="147">
        <f t="shared" si="240"/>
        <v>65442.664375</v>
      </c>
      <c r="W100" s="148">
        <f t="shared" si="240"/>
        <v>69141.985000000001</v>
      </c>
      <c r="X100" s="147">
        <f t="shared" si="240"/>
        <v>72841.305624999994</v>
      </c>
      <c r="Y100" s="148">
        <f t="shared" si="240"/>
        <v>76540.626249999987</v>
      </c>
      <c r="Z100" s="147">
        <f t="shared" si="240"/>
        <v>80239.94687499998</v>
      </c>
      <c r="AA100" s="148">
        <f t="shared" si="240"/>
        <v>83939.267500000016</v>
      </c>
      <c r="AB100" s="147">
        <f t="shared" ref="AB100:AI100" si="241">AB95</f>
        <v>87638.58812499998</v>
      </c>
      <c r="AC100" s="148">
        <f t="shared" si="241"/>
        <v>91337.908749999988</v>
      </c>
      <c r="AD100" s="147">
        <f t="shared" si="241"/>
        <v>95037.22937500001</v>
      </c>
      <c r="AE100" s="148">
        <f t="shared" si="241"/>
        <v>98736.549999999988</v>
      </c>
      <c r="AF100" s="147">
        <f t="shared" si="241"/>
        <v>102435.870625</v>
      </c>
      <c r="AG100" s="148">
        <f t="shared" si="241"/>
        <v>106135.19125</v>
      </c>
      <c r="AH100" s="147">
        <f t="shared" si="241"/>
        <v>109834.511875</v>
      </c>
      <c r="AI100" s="148">
        <f t="shared" si="241"/>
        <v>113533.83250000002</v>
      </c>
      <c r="AJ100" s="147"/>
    </row>
    <row r="101" spans="1:36" s="1" customFormat="1" ht="23.25" customHeight="1" thickTop="1" thickBot="1" x14ac:dyDescent="0.25">
      <c r="A101" s="131" t="s">
        <v>44</v>
      </c>
      <c r="B101" s="132"/>
      <c r="C101" s="132"/>
      <c r="D101" s="132"/>
      <c r="E101" s="132"/>
      <c r="F101" s="133">
        <f>F99-F100</f>
        <v>0</v>
      </c>
      <c r="G101" s="133">
        <f t="shared" ref="G101:O101" si="242">G99-G100</f>
        <v>-9952.8549999999996</v>
      </c>
      <c r="H101" s="133">
        <f t="shared" si="242"/>
        <v>-13652.175624999998</v>
      </c>
      <c r="I101" s="133">
        <f t="shared" si="242"/>
        <v>-17351.49625</v>
      </c>
      <c r="J101" s="133">
        <f t="shared" si="242"/>
        <v>-21050.816875000004</v>
      </c>
      <c r="K101" s="133">
        <f t="shared" si="242"/>
        <v>-24750.137499999997</v>
      </c>
      <c r="L101" s="133">
        <f t="shared" si="242"/>
        <v>-28449.458125000005</v>
      </c>
      <c r="M101" s="133">
        <f t="shared" si="242"/>
        <v>-32148.778750000001</v>
      </c>
      <c r="N101" s="133">
        <f t="shared" si="242"/>
        <v>-35848.099374999998</v>
      </c>
      <c r="O101" s="134">
        <f t="shared" si="242"/>
        <v>-39547.42</v>
      </c>
      <c r="P101" s="133">
        <f t="shared" ref="P101:AA101" si="243">P99-P100</f>
        <v>-43246.740625000006</v>
      </c>
      <c r="Q101" s="134">
        <f t="shared" si="243"/>
        <v>-46946.061249999992</v>
      </c>
      <c r="R101" s="133">
        <f t="shared" si="243"/>
        <v>-50645.381874999999</v>
      </c>
      <c r="S101" s="134">
        <f t="shared" si="243"/>
        <v>-54344.702499999992</v>
      </c>
      <c r="T101" s="133">
        <f t="shared" si="243"/>
        <v>-58044.023124999992</v>
      </c>
      <c r="U101" s="134">
        <f t="shared" si="243"/>
        <v>-61743.343749999993</v>
      </c>
      <c r="V101" s="133">
        <f t="shared" si="243"/>
        <v>-65442.664375</v>
      </c>
      <c r="W101" s="134">
        <f t="shared" si="243"/>
        <v>-69141.985000000001</v>
      </c>
      <c r="X101" s="133">
        <f t="shared" si="243"/>
        <v>-72841.305624999994</v>
      </c>
      <c r="Y101" s="134">
        <f t="shared" si="243"/>
        <v>-76540.626249999987</v>
      </c>
      <c r="Z101" s="133">
        <f t="shared" si="243"/>
        <v>-80239.94687499998</v>
      </c>
      <c r="AA101" s="134">
        <f t="shared" si="243"/>
        <v>-83939.267500000016</v>
      </c>
      <c r="AB101" s="133">
        <f t="shared" ref="AB101:AI101" si="244">AB99-AB100</f>
        <v>-87638.58812499998</v>
      </c>
      <c r="AC101" s="134">
        <f t="shared" si="244"/>
        <v>-91337.908749999988</v>
      </c>
      <c r="AD101" s="133">
        <f t="shared" si="244"/>
        <v>-95037.22937500001</v>
      </c>
      <c r="AE101" s="134">
        <f t="shared" si="244"/>
        <v>-98736.549999999988</v>
      </c>
      <c r="AF101" s="133">
        <f t="shared" si="244"/>
        <v>-102435.870625</v>
      </c>
      <c r="AG101" s="134">
        <f t="shared" si="244"/>
        <v>-106135.19125</v>
      </c>
      <c r="AH101" s="133">
        <f t="shared" si="244"/>
        <v>-109834.511875</v>
      </c>
      <c r="AI101" s="134">
        <f t="shared" si="244"/>
        <v>-113533.83250000002</v>
      </c>
      <c r="AJ101" s="133"/>
    </row>
    <row r="102" spans="1:36" s="1" customFormat="1" ht="11.25" x14ac:dyDescent="0.2">
      <c r="A102" s="70"/>
      <c r="B102" s="70"/>
      <c r="C102" s="70"/>
      <c r="D102" s="70"/>
      <c r="E102" s="70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0"/>
    </row>
    <row r="103" spans="1:36" x14ac:dyDescent="0.25">
      <c r="A103" s="122"/>
      <c r="B103" s="70"/>
      <c r="C103" s="70"/>
      <c r="D103" s="70"/>
      <c r="E103" s="70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4"/>
    </row>
    <row r="104" spans="1:3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</sheetData>
  <mergeCells count="4">
    <mergeCell ref="E18:F18"/>
    <mergeCell ref="E19:F19"/>
    <mergeCell ref="E66:E67"/>
    <mergeCell ref="A2:F17"/>
  </mergeCells>
  <conditionalFormatting sqref="F75">
    <cfRule type="expression" dxfId="0" priority="1">
      <formula>$E$23=1</formula>
    </cfRule>
  </conditionalFormatting>
  <dataValidations count="3">
    <dataValidation errorStyle="information" allowBlank="1" showInputMessage="1" showErrorMessage="1" sqref="F75" xr:uid="{71805D64-65D2-4010-89C9-4450E45D5B0C}"/>
    <dataValidation type="list" allowBlank="1" showInputMessage="1" showErrorMessage="1" sqref="D75 D77" xr:uid="{3D355BD6-F684-4466-AA3D-152CD9237080}">
      <formula1>List_Yes_No</formula1>
    </dataValidation>
    <dataValidation errorStyle="information" allowBlank="1" error="Please enter a percentage between 0% and 100%" prompt="Please enter a percentage between 0% and 100%" sqref="F83:AJ87 F98:AJ98" xr:uid="{AB7909E8-03E8-4105-A82A-EDC106CAC856}"/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Grant vs No Grant Summary</vt:lpstr>
      <vt:lpstr>Energy Usage Cash Flow Examples</vt:lpstr>
      <vt:lpstr>Purchase Summary</vt:lpstr>
      <vt:lpstr>Level 2 Chargers</vt:lpstr>
      <vt:lpstr>Level 3 Chargers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 Dobowolski</dc:creator>
  <cp:lastModifiedBy>Brandon Mark</cp:lastModifiedBy>
  <dcterms:created xsi:type="dcterms:W3CDTF">2023-04-19T17:40:32Z</dcterms:created>
  <dcterms:modified xsi:type="dcterms:W3CDTF">2023-11-09T16:20:22Z</dcterms:modified>
</cp:coreProperties>
</file>